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-120" yWindow="-120" windowWidth="29040" windowHeight="15720" tabRatio="790" firstSheet="3" activeTab="7"/>
  </bookViews>
  <sheets>
    <sheet name="katalogi" sheetId="4" state="hidden" r:id="rId1"/>
    <sheet name="katalog_gmin_PL26" sheetId="25" state="hidden" r:id="rId2"/>
    <sheet name="wskaźniki_efektu" sheetId="20" state="hidden" r:id="rId3"/>
    <sheet name="instrukcja" sheetId="35" r:id="rId4"/>
    <sheet name="tabela_informacyjna_dla_JST" sheetId="26" r:id="rId5"/>
    <sheet name="tab.1_ZSO_gminy" sheetId="30" r:id="rId6"/>
    <sheet name="tab.2_EE_gminy" sheetId="18" r:id="rId7"/>
    <sheet name="tab.3_KPP" sheetId="27" r:id="rId8"/>
    <sheet name="tab.5_PDK" sheetId="31" r:id="rId9"/>
    <sheet name="gminy strefy świętokrzyskiej" sheetId="40" r:id="rId10"/>
  </sheets>
  <externalReferences>
    <externalReference r:id="rId11"/>
  </externalReferences>
  <definedNames>
    <definedName name="_xlnm._FilterDatabase" localSheetId="0" hidden="1">katalogi!$A$2:$J$16</definedName>
    <definedName name="buski">katalog_gmin_PL26!$C$113:$C$120</definedName>
    <definedName name="gminy">#REF!</definedName>
    <definedName name="jednostka">#REF!</definedName>
    <definedName name="jędrzejowski">katalog_gmin_PL26!$D$113:$D$121</definedName>
    <definedName name="kazimierski">katalog_gmin_PL26!$E$113:$E$117</definedName>
    <definedName name="Kielce">katalog_gmin_PL26!$B$113</definedName>
    <definedName name="kielecki">katalog_gmin_PL26!$F$113:$F$131</definedName>
    <definedName name="kod_efektu">wskaźniki_efektu!$A$5:$A$16</definedName>
    <definedName name="kod_zadania_CZM">#REF!</definedName>
    <definedName name="kod_zadania_ZK">#REF!</definedName>
    <definedName name="konecki">katalog_gmin_PL26!$G$113:$G$120</definedName>
    <definedName name="las">[1]Listy!$A$1:$A$2</definedName>
    <definedName name="monit_ZSO">wskaźniki_efektu!$B$21:$B$34</definedName>
    <definedName name="nazwy_gmin" localSheetId="5">gminy_26[nazwa gminy]</definedName>
    <definedName name="nazwy_gmin" localSheetId="7">gminy_26[nazwa gminy]</definedName>
    <definedName name="nazwy_gmin">gminy_26[nazwa gminy]</definedName>
    <definedName name="nazwy_powiaty">katalogi!$B$3:$B$16</definedName>
    <definedName name="opatowski">katalog_gmin_PL26!$H$113:$H$120</definedName>
    <definedName name="ostrowiecki">katalog_gmin_PL26!$I$113:$I$118</definedName>
    <definedName name="pińczowski">katalog_gmin_PL26!$J$113:$J$117</definedName>
    <definedName name="Powiaty">katalog_gmin_PL26!$A$113:$A$126</definedName>
    <definedName name="sandomierski">katalog_gmin_PL26!$K$113:$K$121</definedName>
    <definedName name="skarżyski">katalog_gmin_PL26!$L$113:$L$117</definedName>
    <definedName name="starachowicki">katalog_gmin_PL26!$M$113:$M$117</definedName>
    <definedName name="staszowski">katalog_gmin_PL26!$N$113:$N$120</definedName>
    <definedName name="strefa_PL2401">#REF!</definedName>
    <definedName name="strefa_PL2402">#REF!</definedName>
    <definedName name="strefa_PL2403">#REF!</definedName>
    <definedName name="strefa_PL2404">#REF!</definedName>
    <definedName name="strefa_PL2405">#REF!</definedName>
    <definedName name="włoszczowski">katalog_gmin_PL26!$O$113:$O$118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30" l="1"/>
  <c r="B30" i="30"/>
  <c r="B27" i="30"/>
  <c r="B13" i="30"/>
  <c r="B14" i="30"/>
  <c r="B15" i="30"/>
  <c r="B16" i="30"/>
  <c r="B17" i="30"/>
  <c r="B18" i="30"/>
  <c r="B19" i="30"/>
  <c r="B20" i="30"/>
  <c r="C24" i="26" l="1"/>
  <c r="E23" i="26" l="1"/>
  <c r="E20" i="26"/>
  <c r="C20" i="26"/>
  <c r="Z15" i="25"/>
  <c r="T5" i="25"/>
  <c r="U5" i="25"/>
  <c r="V5" i="25"/>
  <c r="W5" i="25"/>
  <c r="X5" i="25"/>
  <c r="Y5" i="25"/>
  <c r="Z5" i="25"/>
  <c r="T6" i="25"/>
  <c r="U6" i="25"/>
  <c r="V6" i="25"/>
  <c r="W6" i="25"/>
  <c r="X6" i="25"/>
  <c r="Y6" i="25"/>
  <c r="Z6" i="25"/>
  <c r="T7" i="25"/>
  <c r="U7" i="25"/>
  <c r="V7" i="25"/>
  <c r="W7" i="25"/>
  <c r="X7" i="25"/>
  <c r="Y7" i="25"/>
  <c r="Z7" i="25"/>
  <c r="T8" i="25"/>
  <c r="U8" i="25"/>
  <c r="V8" i="25"/>
  <c r="W8" i="25"/>
  <c r="X8" i="25"/>
  <c r="Y8" i="25"/>
  <c r="Z8" i="25"/>
  <c r="T9" i="25"/>
  <c r="U9" i="25"/>
  <c r="V9" i="25"/>
  <c r="W9" i="25"/>
  <c r="X9" i="25"/>
  <c r="Y9" i="25"/>
  <c r="Z9" i="25"/>
  <c r="T10" i="25"/>
  <c r="U10" i="25"/>
  <c r="V10" i="25"/>
  <c r="W10" i="25"/>
  <c r="X10" i="25"/>
  <c r="Y10" i="25"/>
  <c r="Z10" i="25"/>
  <c r="T11" i="25"/>
  <c r="U11" i="25"/>
  <c r="V11" i="25"/>
  <c r="W11" i="25"/>
  <c r="X11" i="25"/>
  <c r="Y11" i="25"/>
  <c r="Z11" i="25"/>
  <c r="T12" i="25"/>
  <c r="U12" i="25"/>
  <c r="V12" i="25"/>
  <c r="W12" i="25"/>
  <c r="X12" i="25"/>
  <c r="Y12" i="25"/>
  <c r="Z12" i="25"/>
  <c r="T13" i="25"/>
  <c r="U13" i="25"/>
  <c r="V13" i="25"/>
  <c r="W13" i="25"/>
  <c r="X13" i="25"/>
  <c r="Y13" i="25"/>
  <c r="Z13" i="25"/>
  <c r="T14" i="25"/>
  <c r="U14" i="25"/>
  <c r="V14" i="25"/>
  <c r="W14" i="25"/>
  <c r="X14" i="25"/>
  <c r="Y14" i="25"/>
  <c r="Z14" i="25"/>
  <c r="T15" i="25"/>
  <c r="U15" i="25"/>
  <c r="V15" i="25"/>
  <c r="W15" i="25"/>
  <c r="X15" i="25"/>
  <c r="Y15" i="25"/>
  <c r="T16" i="25"/>
  <c r="U16" i="25"/>
  <c r="V16" i="25"/>
  <c r="W16" i="25"/>
  <c r="X16" i="25"/>
  <c r="Y16" i="25"/>
  <c r="Z16" i="25"/>
  <c r="T17" i="25"/>
  <c r="U17" i="25"/>
  <c r="V17" i="25"/>
  <c r="W17" i="25"/>
  <c r="X17" i="25"/>
  <c r="Y17" i="25"/>
  <c r="Z17" i="25"/>
  <c r="Z4" i="25"/>
  <c r="Y4" i="25"/>
  <c r="X4" i="25"/>
  <c r="W4" i="25"/>
  <c r="V4" i="25"/>
  <c r="U4" i="25"/>
  <c r="T4" i="25"/>
  <c r="F2" i="30" l="1"/>
  <c r="B31" i="30" l="1"/>
  <c r="B28" i="30"/>
  <c r="B26" i="30"/>
  <c r="B25" i="30"/>
  <c r="B24" i="30"/>
  <c r="B23" i="30"/>
  <c r="B22" i="30"/>
  <c r="B21" i="30"/>
  <c r="B12" i="30"/>
  <c r="B11" i="30"/>
  <c r="B9" i="30"/>
  <c r="C9" i="30" s="1"/>
  <c r="D9" i="30" s="1"/>
  <c r="E9" i="30" s="1"/>
  <c r="F9" i="30" s="1"/>
  <c r="G9" i="30" s="1"/>
  <c r="H9" i="30" s="1"/>
  <c r="I9" i="30" s="1"/>
  <c r="J9" i="30" s="1"/>
  <c r="K9" i="30" s="1"/>
  <c r="L9" i="30" s="1"/>
  <c r="O6" i="30"/>
  <c r="N6" i="30"/>
  <c r="C46" i="40" s="1"/>
  <c r="J6" i="30"/>
  <c r="I6" i="30"/>
  <c r="C39" i="40" l="1"/>
  <c r="C35" i="40"/>
  <c r="M9" i="30"/>
  <c r="N9" i="30" s="1"/>
  <c r="O9" i="30" s="1"/>
  <c r="P9" i="30" s="1"/>
  <c r="G14" i="27" l="1"/>
  <c r="G15" i="27"/>
  <c r="G16" i="27"/>
  <c r="G17" i="27"/>
  <c r="G18" i="27"/>
  <c r="G19" i="27"/>
  <c r="G20" i="27"/>
  <c r="G21" i="27"/>
  <c r="G22" i="27"/>
  <c r="G13" i="27"/>
  <c r="I7" i="27"/>
  <c r="J7" i="27"/>
  <c r="K7" i="27"/>
  <c r="L7" i="27"/>
  <c r="M7" i="27"/>
  <c r="E39" i="40" s="1"/>
  <c r="N7" i="27"/>
  <c r="O7" i="27"/>
  <c r="P7" i="27"/>
  <c r="Q7" i="27"/>
  <c r="H7" i="27"/>
  <c r="E35" i="40" s="1"/>
  <c r="G7" i="27" l="1"/>
  <c r="AI22" i="27"/>
  <c r="B22" i="27"/>
  <c r="AI21" i="27"/>
  <c r="B21" i="27"/>
  <c r="AI20" i="27"/>
  <c r="B20" i="27"/>
  <c r="AI19" i="27"/>
  <c r="B19" i="27"/>
  <c r="AI18" i="27"/>
  <c r="B18" i="27"/>
  <c r="AI17" i="27"/>
  <c r="B17" i="27"/>
  <c r="AI16" i="27"/>
  <c r="B16" i="27"/>
  <c r="AI15" i="27"/>
  <c r="B15" i="27"/>
  <c r="AI14" i="27"/>
  <c r="B14" i="27"/>
  <c r="AI13" i="27"/>
  <c r="B13" i="27"/>
  <c r="B11" i="27"/>
  <c r="C11" i="27" s="1"/>
  <c r="D11" i="27" s="1"/>
  <c r="E11" i="27" s="1"/>
  <c r="F11" i="27" s="1"/>
  <c r="G11" i="27" s="1"/>
  <c r="H11" i="27" s="1"/>
  <c r="I11" i="27" s="1"/>
  <c r="J11" i="27" s="1"/>
  <c r="K11" i="27" s="1"/>
  <c r="L11" i="27" s="1"/>
  <c r="M11" i="27" s="1"/>
  <c r="N11" i="27" s="1"/>
  <c r="O11" i="27" s="1"/>
  <c r="P11" i="27" s="1"/>
  <c r="Q11" i="27" s="1"/>
  <c r="F4" i="18"/>
  <c r="G4" i="18"/>
  <c r="H4" i="18"/>
  <c r="I4" i="18"/>
  <c r="J4" i="18"/>
  <c r="B9" i="18"/>
  <c r="D39" i="40" l="1"/>
  <c r="D37" i="40"/>
  <c r="D35" i="40"/>
  <c r="D33" i="40"/>
  <c r="D31" i="40"/>
  <c r="B11" i="18"/>
  <c r="B12" i="18"/>
  <c r="B13" i="18"/>
  <c r="B14" i="18"/>
  <c r="B15" i="18"/>
  <c r="B16" i="18"/>
  <c r="B17" i="18"/>
  <c r="B18" i="18"/>
  <c r="B10" i="18"/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4" i="25"/>
  <c r="C55" i="25"/>
  <c r="C56" i="25"/>
  <c r="C57" i="25"/>
  <c r="C58" i="25"/>
  <c r="C59" i="25"/>
  <c r="C60" i="25"/>
  <c r="C61" i="25"/>
  <c r="C62" i="25"/>
  <c r="C63" i="25"/>
  <c r="C64" i="25"/>
  <c r="C65" i="25"/>
  <c r="C66" i="25"/>
  <c r="C67" i="25"/>
  <c r="C68" i="25"/>
  <c r="C69" i="25"/>
  <c r="C70" i="25"/>
  <c r="C71" i="25"/>
  <c r="C72" i="25"/>
  <c r="C73" i="25"/>
  <c r="C74" i="25"/>
  <c r="C75" i="25"/>
  <c r="C76" i="25"/>
  <c r="C77" i="25"/>
  <c r="C78" i="25"/>
  <c r="C53" i="25"/>
  <c r="C79" i="25"/>
  <c r="C80" i="25"/>
  <c r="C81" i="25"/>
  <c r="C82" i="25"/>
  <c r="C83" i="25"/>
  <c r="C84" i="25"/>
  <c r="C85" i="25"/>
  <c r="C86" i="25"/>
  <c r="C87" i="25"/>
  <c r="C88" i="25"/>
  <c r="C89" i="25"/>
  <c r="C90" i="25"/>
  <c r="C91" i="25"/>
  <c r="C92" i="25"/>
  <c r="C93" i="25"/>
  <c r="C94" i="25"/>
  <c r="C95" i="25"/>
  <c r="C96" i="25"/>
  <c r="C97" i="25"/>
  <c r="C98" i="25"/>
  <c r="C99" i="25"/>
  <c r="C100" i="25"/>
  <c r="C101" i="25"/>
  <c r="C102" i="25"/>
  <c r="C103" i="25"/>
  <c r="C104" i="25"/>
  <c r="C105" i="25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G4" i="25"/>
  <c r="G5" i="25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53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103" i="25"/>
  <c r="G104" i="25"/>
  <c r="G105" i="25"/>
  <c r="B1" i="25"/>
  <c r="C1" i="25" s="1"/>
  <c r="D1" i="25" s="1"/>
  <c r="D9" i="26" l="1"/>
  <c r="S19" i="30"/>
  <c r="S18" i="30"/>
  <c r="T18" i="30" s="1"/>
  <c r="S16" i="30"/>
  <c r="T16" i="30" s="1"/>
  <c r="S15" i="30"/>
  <c r="S14" i="30"/>
  <c r="S13" i="30"/>
  <c r="S27" i="30"/>
  <c r="S30" i="30"/>
  <c r="S29" i="30"/>
  <c r="S17" i="30"/>
  <c r="S20" i="30"/>
  <c r="D24" i="26"/>
  <c r="F23" i="26"/>
  <c r="F8" i="26"/>
  <c r="S28" i="30"/>
  <c r="S23" i="30"/>
  <c r="S24" i="30"/>
  <c r="S31" i="30"/>
  <c r="S26" i="30"/>
  <c r="S12" i="30"/>
  <c r="S11" i="30"/>
  <c r="T11" i="30" s="1"/>
  <c r="S25" i="30"/>
  <c r="S21" i="30"/>
  <c r="S22" i="30"/>
  <c r="T22" i="30" s="1"/>
  <c r="E1" i="25"/>
  <c r="F1" i="25" s="1"/>
  <c r="G1" i="25" s="1"/>
  <c r="H1" i="25" s="1"/>
  <c r="I1" i="25" s="1"/>
  <c r="T20" i="30" l="1"/>
  <c r="T17" i="30"/>
  <c r="T29" i="30"/>
  <c r="T30" i="30"/>
  <c r="T31" i="30"/>
  <c r="T27" i="30"/>
  <c r="T13" i="30"/>
  <c r="T14" i="30"/>
  <c r="T15" i="30"/>
  <c r="T19" i="30"/>
  <c r="T21" i="30"/>
  <c r="T3" i="25"/>
  <c r="D22" i="26"/>
  <c r="C22" i="26"/>
  <c r="J1" i="25"/>
  <c r="T24" i="30"/>
  <c r="T23" i="30"/>
  <c r="T28" i="30"/>
  <c r="T25" i="30"/>
  <c r="D7" i="26"/>
  <c r="F3" i="30"/>
  <c r="T12" i="30"/>
  <c r="T26" i="30"/>
  <c r="C7" i="26"/>
  <c r="D29" i="30" l="1"/>
  <c r="D30" i="30"/>
  <c r="D27" i="30"/>
  <c r="D13" i="30"/>
  <c r="D14" i="30"/>
  <c r="D18" i="30"/>
  <c r="D20" i="30"/>
  <c r="D15" i="30"/>
  <c r="D16" i="30"/>
  <c r="D17" i="30"/>
  <c r="D19" i="30"/>
  <c r="D24" i="30"/>
  <c r="D25" i="30"/>
  <c r="C13" i="18"/>
  <c r="C15" i="27"/>
  <c r="C13" i="27"/>
  <c r="D28" i="30"/>
  <c r="C17" i="27"/>
  <c r="C11" i="18"/>
  <c r="C12" i="18"/>
  <c r="D26" i="30"/>
  <c r="C14" i="18"/>
  <c r="C16" i="27"/>
  <c r="C15" i="18"/>
  <c r="C19" i="27"/>
  <c r="D23" i="30"/>
  <c r="C21" i="27"/>
  <c r="C22" i="27"/>
  <c r="D31" i="30"/>
  <c r="C16" i="18"/>
  <c r="C18" i="27"/>
  <c r="D21" i="30"/>
  <c r="D12" i="30"/>
  <c r="C17" i="18"/>
  <c r="C9" i="18"/>
  <c r="D22" i="30"/>
  <c r="C10" i="18"/>
  <c r="C18" i="18"/>
  <c r="C20" i="27"/>
  <c r="C14" i="27"/>
  <c r="K1" i="25"/>
  <c r="U3" i="25"/>
  <c r="L4" i="18"/>
  <c r="K4" i="18"/>
  <c r="D46" i="40" s="1"/>
  <c r="D11" i="30"/>
  <c r="L1" i="25" l="1"/>
  <c r="V3" i="25"/>
  <c r="B1" i="20"/>
  <c r="C1" i="20" s="1"/>
  <c r="R16" i="30" l="1"/>
  <c r="R24" i="30"/>
  <c r="R25" i="30"/>
  <c r="R19" i="30"/>
  <c r="R27" i="30"/>
  <c r="R31" i="30"/>
  <c r="R17" i="30"/>
  <c r="R18" i="30"/>
  <c r="R26" i="30"/>
  <c r="R12" i="30"/>
  <c r="R20" i="30"/>
  <c r="R28" i="30"/>
  <c r="R13" i="30"/>
  <c r="R21" i="30"/>
  <c r="R29" i="30"/>
  <c r="R23" i="30"/>
  <c r="R14" i="30"/>
  <c r="R22" i="30"/>
  <c r="R30" i="30"/>
  <c r="R15" i="30"/>
  <c r="R11" i="30"/>
  <c r="M1" i="25"/>
  <c r="W3" i="25"/>
  <c r="D1" i="20"/>
  <c r="AE10" i="18"/>
  <c r="AE11" i="18"/>
  <c r="AE12" i="18"/>
  <c r="AE13" i="18"/>
  <c r="AE14" i="18"/>
  <c r="AE15" i="18"/>
  <c r="AE16" i="18"/>
  <c r="AE17" i="18"/>
  <c r="AE18" i="18"/>
  <c r="AE9" i="18"/>
  <c r="L15" i="30" l="1"/>
  <c r="K15" i="30"/>
  <c r="M15" i="30"/>
  <c r="M30" i="30"/>
  <c r="L30" i="30"/>
  <c r="K30" i="30"/>
  <c r="K13" i="30"/>
  <c r="L13" i="30"/>
  <c r="M13" i="30"/>
  <c r="M29" i="30"/>
  <c r="L29" i="30"/>
  <c r="K29" i="30"/>
  <c r="K19" i="30"/>
  <c r="L19" i="30"/>
  <c r="M19" i="30"/>
  <c r="M14" i="30"/>
  <c r="K14" i="30"/>
  <c r="L14" i="30"/>
  <c r="K18" i="30"/>
  <c r="M18" i="30"/>
  <c r="L18" i="30"/>
  <c r="K17" i="30"/>
  <c r="M17" i="30"/>
  <c r="L17" i="30"/>
  <c r="K20" i="30"/>
  <c r="M20" i="30"/>
  <c r="L20" i="30"/>
  <c r="M27" i="30"/>
  <c r="K27" i="30"/>
  <c r="L27" i="30"/>
  <c r="K16" i="30"/>
  <c r="M16" i="30"/>
  <c r="L16" i="30"/>
  <c r="K25" i="30"/>
  <c r="L25" i="30"/>
  <c r="M25" i="30"/>
  <c r="K22" i="30"/>
  <c r="M22" i="30"/>
  <c r="L22" i="30"/>
  <c r="K11" i="30"/>
  <c r="L11" i="30"/>
  <c r="M11" i="30"/>
  <c r="M21" i="30"/>
  <c r="L21" i="30"/>
  <c r="K21" i="30"/>
  <c r="L24" i="30"/>
  <c r="M24" i="30"/>
  <c r="K24" i="30"/>
  <c r="K31" i="30"/>
  <c r="L31" i="30"/>
  <c r="M31" i="30"/>
  <c r="L12" i="30"/>
  <c r="K12" i="30"/>
  <c r="M12" i="30"/>
  <c r="K23" i="30"/>
  <c r="L23" i="30"/>
  <c r="M23" i="30"/>
  <c r="K26" i="30"/>
  <c r="M26" i="30"/>
  <c r="L26" i="30"/>
  <c r="K28" i="30"/>
  <c r="L28" i="30"/>
  <c r="M28" i="30"/>
  <c r="N1" i="25"/>
  <c r="X3" i="25"/>
  <c r="F4" i="30" s="1"/>
  <c r="C27" i="40" s="1"/>
  <c r="E1" i="20"/>
  <c r="L6" i="30" l="1"/>
  <c r="K6" i="30"/>
  <c r="M6" i="30"/>
  <c r="Y3" i="25"/>
  <c r="O1" i="25"/>
  <c r="B7" i="18"/>
  <c r="C7" i="18" s="1"/>
  <c r="D7" i="18" s="1"/>
  <c r="E7" i="18" s="1"/>
  <c r="C41" i="40" l="1"/>
  <c r="C45" i="40"/>
  <c r="C43" i="40"/>
  <c r="Z3" i="25"/>
  <c r="P1" i="25"/>
  <c r="F7" i="18"/>
  <c r="G7" i="18" s="1"/>
  <c r="H7" i="18" s="1"/>
  <c r="I7" i="18" s="1"/>
  <c r="J7" i="18" s="1"/>
  <c r="K7" i="18" s="1"/>
  <c r="L7" i="18" s="1"/>
  <c r="M7" i="18" s="1"/>
  <c r="Q1" i="25" l="1"/>
  <c r="R1" i="25" s="1"/>
  <c r="S1" i="25" s="1"/>
  <c r="T1" i="25" s="1"/>
  <c r="E2" i="18"/>
  <c r="D27" i="40" s="1"/>
  <c r="B1" i="4"/>
  <c r="K4" i="4"/>
  <c r="K3" i="4"/>
  <c r="E5" i="25" l="1"/>
  <c r="E12" i="25"/>
  <c r="E20" i="25"/>
  <c r="E28" i="25"/>
  <c r="E36" i="25"/>
  <c r="E44" i="25"/>
  <c r="E52" i="25"/>
  <c r="E61" i="25"/>
  <c r="E69" i="25"/>
  <c r="E77" i="25"/>
  <c r="E84" i="25"/>
  <c r="E92" i="25"/>
  <c r="E100" i="25"/>
  <c r="E33" i="25"/>
  <c r="E74" i="25"/>
  <c r="E19" i="25"/>
  <c r="E68" i="25"/>
  <c r="E13" i="25"/>
  <c r="E21" i="25"/>
  <c r="E29" i="25"/>
  <c r="E37" i="25"/>
  <c r="E45" i="25"/>
  <c r="E54" i="25"/>
  <c r="E62" i="25"/>
  <c r="E70" i="25"/>
  <c r="E78" i="25"/>
  <c r="E85" i="25"/>
  <c r="E93" i="25"/>
  <c r="E101" i="25"/>
  <c r="E41" i="25"/>
  <c r="E89" i="25"/>
  <c r="E27" i="25"/>
  <c r="E83" i="25"/>
  <c r="E6" i="25"/>
  <c r="E14" i="25"/>
  <c r="E22" i="25"/>
  <c r="E30" i="25"/>
  <c r="E38" i="25"/>
  <c r="E46" i="25"/>
  <c r="E55" i="25"/>
  <c r="E63" i="25"/>
  <c r="E71" i="25"/>
  <c r="E53" i="25"/>
  <c r="E86" i="25"/>
  <c r="E94" i="25"/>
  <c r="E102" i="25"/>
  <c r="E95" i="25"/>
  <c r="E103" i="25"/>
  <c r="E9" i="25"/>
  <c r="E49" i="25"/>
  <c r="E81" i="25"/>
  <c r="E51" i="25"/>
  <c r="E91" i="25"/>
  <c r="E7" i="25"/>
  <c r="E15" i="25"/>
  <c r="E23" i="25"/>
  <c r="E31" i="25"/>
  <c r="E39" i="25"/>
  <c r="E47" i="25"/>
  <c r="E56" i="25"/>
  <c r="E64" i="25"/>
  <c r="E72" i="25"/>
  <c r="E79" i="25"/>
  <c r="E87" i="25"/>
  <c r="E96" i="25"/>
  <c r="E17" i="25"/>
  <c r="E58" i="25"/>
  <c r="E97" i="25"/>
  <c r="E60" i="25"/>
  <c r="E8" i="25"/>
  <c r="E16" i="25"/>
  <c r="E24" i="25"/>
  <c r="E32" i="25"/>
  <c r="E40" i="25"/>
  <c r="E48" i="25"/>
  <c r="E57" i="25"/>
  <c r="E65" i="25"/>
  <c r="E73" i="25"/>
  <c r="E80" i="25"/>
  <c r="E88" i="25"/>
  <c r="E104" i="25"/>
  <c r="E25" i="25"/>
  <c r="E66" i="25"/>
  <c r="E105" i="25"/>
  <c r="E35" i="25"/>
  <c r="E99" i="25"/>
  <c r="C1" i="4"/>
  <c r="D1" i="4" s="1"/>
  <c r="E10" i="25"/>
  <c r="E18" i="25"/>
  <c r="E26" i="25"/>
  <c r="E34" i="25"/>
  <c r="E42" i="25"/>
  <c r="E50" i="25"/>
  <c r="E59" i="25"/>
  <c r="E67" i="25"/>
  <c r="E75" i="25"/>
  <c r="E82" i="25"/>
  <c r="E90" i="25"/>
  <c r="E98" i="25"/>
  <c r="E11" i="25"/>
  <c r="E43" i="25"/>
  <c r="E76" i="25"/>
  <c r="U1" i="25"/>
  <c r="V1" i="25" s="1"/>
  <c r="W1" i="25" s="1"/>
  <c r="X1" i="25" s="1"/>
  <c r="Y1" i="25" s="1"/>
  <c r="Z1" i="25" s="1"/>
  <c r="E2" i="27"/>
  <c r="C23" i="26" l="1"/>
  <c r="C8" i="26"/>
  <c r="E1" i="4"/>
  <c r="F22" i="26"/>
  <c r="F7" i="26"/>
  <c r="E27" i="40"/>
  <c r="C17" i="30" l="1"/>
  <c r="C28" i="30"/>
  <c r="C19" i="30"/>
  <c r="C21" i="30"/>
  <c r="C31" i="30"/>
  <c r="C13" i="30"/>
  <c r="C29" i="30"/>
  <c r="C30" i="30"/>
  <c r="C11" i="30"/>
  <c r="C27" i="30"/>
  <c r="C22" i="30"/>
  <c r="C14" i="30"/>
  <c r="C25" i="30"/>
  <c r="C18" i="30"/>
  <c r="C12" i="30"/>
  <c r="C20" i="30"/>
  <c r="C15" i="30"/>
  <c r="C23" i="30"/>
  <c r="C16" i="30"/>
  <c r="C24" i="30"/>
  <c r="C26" i="30"/>
  <c r="F1" i="4"/>
  <c r="G1" i="4" s="1"/>
  <c r="H1" i="4" s="1"/>
  <c r="I1" i="4" s="1"/>
  <c r="J1" i="4" s="1"/>
  <c r="K1" i="4" s="1"/>
  <c r="L1" i="4" s="1"/>
  <c r="M1" i="4" s="1"/>
  <c r="N1" i="4" s="1"/>
  <c r="E22" i="26"/>
  <c r="E7" i="26"/>
  <c r="E16" i="30" l="1"/>
  <c r="E31" i="30"/>
  <c r="E28" i="30"/>
  <c r="D18" i="27"/>
  <c r="D14" i="27"/>
  <c r="E11" i="30"/>
  <c r="D16" i="18"/>
  <c r="D18" i="18"/>
  <c r="E26" i="30"/>
  <c r="O1" i="4"/>
  <c r="E27" i="30"/>
  <c r="E24" i="30"/>
  <c r="D11" i="18"/>
  <c r="D20" i="27"/>
  <c r="D21" i="27"/>
  <c r="E13" i="30"/>
  <c r="E23" i="30"/>
  <c r="E22" i="30"/>
  <c r="D13" i="18"/>
  <c r="E25" i="30"/>
  <c r="E17" i="30"/>
  <c r="E15" i="30"/>
  <c r="D17" i="18"/>
  <c r="E14" i="30"/>
  <c r="E18" i="30"/>
  <c r="E20" i="30"/>
  <c r="E12" i="30"/>
  <c r="D22" i="27"/>
  <c r="D16" i="27"/>
  <c r="D17" i="27"/>
  <c r="D15" i="18"/>
  <c r="E21" i="30"/>
  <c r="E29" i="30"/>
  <c r="E30" i="30"/>
  <c r="D19" i="27"/>
  <c r="D12" i="18"/>
  <c r="D14" i="18"/>
  <c r="D15" i="27"/>
  <c r="D10" i="18"/>
  <c r="E19" i="30"/>
  <c r="D9" i="18"/>
</calcChain>
</file>

<file path=xl/sharedStrings.xml><?xml version="1.0" encoding="utf-8"?>
<sst xmlns="http://schemas.openxmlformats.org/spreadsheetml/2006/main" count="1170" uniqueCount="584">
  <si>
    <t>powiat</t>
  </si>
  <si>
    <t>województwo</t>
  </si>
  <si>
    <t>kod strefy</t>
  </si>
  <si>
    <t>nazwa strefy</t>
  </si>
  <si>
    <t>województo</t>
  </si>
  <si>
    <t>nazwa gminy</t>
  </si>
  <si>
    <t>kod gminy</t>
  </si>
  <si>
    <t>Lp.</t>
  </si>
  <si>
    <t>Województwo</t>
  </si>
  <si>
    <t>Uwagi</t>
  </si>
  <si>
    <t>Zawartość</t>
  </si>
  <si>
    <t>do tabel sprawozdawczych</t>
  </si>
  <si>
    <t>Adres pocztowy Urzędu Marszałkowskiego</t>
  </si>
  <si>
    <t>Numer służbowego faksu osoby do kontaktu</t>
  </si>
  <si>
    <t>Opatów</t>
  </si>
  <si>
    <t>Powiat</t>
  </si>
  <si>
    <t>Strefa i kod strefy</t>
  </si>
  <si>
    <t>kod zadania</t>
  </si>
  <si>
    <t>lokalizacja</t>
  </si>
  <si>
    <t>krótki opis prowadzonych działań</t>
  </si>
  <si>
    <t>krótko opisać rodzaj prowadzonych działań inwestycyjnych lub modernizacyjnych i ich wpływ na wielkość emisji zanieczyszczeń do powietrza</t>
  </si>
  <si>
    <t>podać koszty sumaryczne poniesione na realizację zadania</t>
  </si>
  <si>
    <r>
      <t>kod zadania</t>
    </r>
    <r>
      <rPr>
        <sz val="9"/>
        <color theme="1"/>
        <rFont val="Calibri"/>
        <family val="2"/>
        <charset val="238"/>
      </rPr>
      <t xml:space="preserve"> </t>
    </r>
  </si>
  <si>
    <r>
      <t>nazwa zadania</t>
    </r>
    <r>
      <rPr>
        <sz val="9"/>
        <color rgb="FF000000"/>
        <rFont val="Calibri"/>
        <family val="2"/>
        <charset val="238"/>
      </rPr>
      <t xml:space="preserve"> </t>
    </r>
  </si>
  <si>
    <t>Ograniczenie emisji z instalacji o małej mocy do 1 MW, w których następuje spalanie paliw stałych</t>
  </si>
  <si>
    <t>[szt.]</t>
  </si>
  <si>
    <t>gmina</t>
  </si>
  <si>
    <t>opisać jakie działania edukacyjne były prowadzone w ramach realizacji POP</t>
  </si>
  <si>
    <t>EE</t>
  </si>
  <si>
    <t>jeżeli uzyskano dofinansowanie podać w jakiej kwocie</t>
  </si>
  <si>
    <t>podać liczbę przeprowadzonych kampanii edukacyjnych opisanych w kolumnie 5</t>
  </si>
  <si>
    <t>PM10</t>
  </si>
  <si>
    <t>PM2,5</t>
  </si>
  <si>
    <t>rodzaj działania</t>
  </si>
  <si>
    <t>wypełnia się automatycznie</t>
  </si>
  <si>
    <t>B(a)P</t>
  </si>
  <si>
    <t>w_c.o.</t>
  </si>
  <si>
    <t>likwidacja kotła węglowego - podłączenie do sieci cieplnej</t>
  </si>
  <si>
    <t>w_elektr</t>
  </si>
  <si>
    <t>zmiana ogrzewania węglowego na elektryczne</t>
  </si>
  <si>
    <t>w_gaz</t>
  </si>
  <si>
    <t>zmiana paliwa węglowego na gazowe</t>
  </si>
  <si>
    <t>w_olej</t>
  </si>
  <si>
    <t>instalacja kolektorów słonecznych bez zmiany kotła węglowego</t>
  </si>
  <si>
    <t>wskaźnik redukcji emisji (efektu ekologicznego)</t>
  </si>
  <si>
    <t>kod działania</t>
  </si>
  <si>
    <t>w_pompa</t>
  </si>
  <si>
    <t>[kg/rok]</t>
  </si>
  <si>
    <t>czy pobierać</t>
  </si>
  <si>
    <r>
      <t>koszty łącznie [zł/rok]</t>
    </r>
    <r>
      <rPr>
        <b/>
        <sz val="9"/>
        <color rgb="FFFF0000"/>
        <rFont val="Calibri"/>
        <family val="2"/>
        <charset val="238"/>
      </rPr>
      <t>*</t>
    </r>
  </si>
  <si>
    <t>zmiana paliwa węglowego na olej opałowy</t>
  </si>
  <si>
    <t>ks+WK_R</t>
  </si>
  <si>
    <t>instalacja pompy ciepła (ziemnej lub powietrznej)</t>
  </si>
  <si>
    <t>termo+gaz</t>
  </si>
  <si>
    <t>termo+olej</t>
  </si>
  <si>
    <t>wypełnia się automatycznie, zgodnie z tabelą informacyjną</t>
  </si>
  <si>
    <t>świętokrzyskie</t>
  </si>
  <si>
    <t>Urząd Marszałkowski Województwa Świętokrzyskiego</t>
  </si>
  <si>
    <t>PL2601</t>
  </si>
  <si>
    <t>miasto Kielce</t>
  </si>
  <si>
    <t>PL2602</t>
  </si>
  <si>
    <t>strefa świętokrzyska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</si>
  <si>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</si>
  <si>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</si>
  <si>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</si>
  <si>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</si>
  <si>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</si>
  <si>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</si>
  <si>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</si>
  <si>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</si>
  <si>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</si>
  <si>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</si>
  <si>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</si>
  <si>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</si>
  <si>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</si>
  <si>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</si>
  <si>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</si>
  <si>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</si>
  <si>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</si>
  <si>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</si>
  <si>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</si>
  <si>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</si>
  <si>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</si>
  <si>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</si>
  <si>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</si>
  <si>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</si>
  <si>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</si>
  <si>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</si>
  <si>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</si>
  <si>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PL2601_ZSO</t>
  </si>
  <si>
    <t>PL2602_ZSO</t>
  </si>
  <si>
    <t>PL2601_EE</t>
  </si>
  <si>
    <t>PL2602_EE</t>
  </si>
  <si>
    <t>PL2601_KPP</t>
  </si>
  <si>
    <t>PL2602_KPP</t>
  </si>
  <si>
    <t>PL2601_BDO</t>
  </si>
  <si>
    <t>PL2602_BDO</t>
  </si>
  <si>
    <t>Prowadzenie kontroli przestrzegania przepisów ograniczających używanie paliw lub urządzeń do celów grzewczych oraz zakazu spalania odpadów</t>
  </si>
  <si>
    <t>Ograniczenie oddziaływania transportu drogowego poprzez wyprowadzenie ruchu tranzytowego poza tereny miejskie</t>
  </si>
  <si>
    <t>2606012</t>
  </si>
  <si>
    <t>Baćkowice</t>
  </si>
  <si>
    <t>2607022</t>
  </si>
  <si>
    <t>Bałtów</t>
  </si>
  <si>
    <t>2603012</t>
  </si>
  <si>
    <t>Bejsce</t>
  </si>
  <si>
    <t>2604012</t>
  </si>
  <si>
    <t>Bieliny</t>
  </si>
  <si>
    <t>2610022</t>
  </si>
  <si>
    <t>Bliżyn</t>
  </si>
  <si>
    <t>2607032</t>
  </si>
  <si>
    <t>Bodzechów</t>
  </si>
  <si>
    <t>2604023</t>
  </si>
  <si>
    <t>Bodzentyn</t>
  </si>
  <si>
    <t>2612012</t>
  </si>
  <si>
    <t>Bogoria</t>
  </si>
  <si>
    <t>2611022</t>
  </si>
  <si>
    <t>Brody</t>
  </si>
  <si>
    <t>2601013</t>
  </si>
  <si>
    <t>Busko-Zdrój</t>
  </si>
  <si>
    <t>2604033</t>
  </si>
  <si>
    <t>Chęciny</t>
  </si>
  <si>
    <t>2604043</t>
  </si>
  <si>
    <t>Chmielnik</t>
  </si>
  <si>
    <t>2603022</t>
  </si>
  <si>
    <t>Czarnocin</t>
  </si>
  <si>
    <t>2607043</t>
  </si>
  <si>
    <t>Ćmielów</t>
  </si>
  <si>
    <t>2604053</t>
  </si>
  <si>
    <t>Daleszyce</t>
  </si>
  <si>
    <t>2609022</t>
  </si>
  <si>
    <t>Dwikozy</t>
  </si>
  <si>
    <t>2608013</t>
  </si>
  <si>
    <t>Działoszyce</t>
  </si>
  <si>
    <t>2605012</t>
  </si>
  <si>
    <t>Fałków</t>
  </si>
  <si>
    <t>2601022</t>
  </si>
  <si>
    <t>Gnojno</t>
  </si>
  <si>
    <t>2605022</t>
  </si>
  <si>
    <t>Gowarczów</t>
  </si>
  <si>
    <t>2604062</t>
  </si>
  <si>
    <t>Górno</t>
  </si>
  <si>
    <t>2602012</t>
  </si>
  <si>
    <t>Imielno</t>
  </si>
  <si>
    <t>2606022</t>
  </si>
  <si>
    <t>Iwaniska</t>
  </si>
  <si>
    <t>2602023</t>
  </si>
  <si>
    <t>Jędrzejów</t>
  </si>
  <si>
    <t>2603033</t>
  </si>
  <si>
    <t>Kazimierza Wielka</t>
  </si>
  <si>
    <t>2608022</t>
  </si>
  <si>
    <t>Kije</t>
  </si>
  <si>
    <t>2609032</t>
  </si>
  <si>
    <t>Klimontów</t>
  </si>
  <si>
    <t>2613012</t>
  </si>
  <si>
    <t>Kluczewsko</t>
  </si>
  <si>
    <t>2605033</t>
  </si>
  <si>
    <t>Końskie</t>
  </si>
  <si>
    <t>2609043</t>
  </si>
  <si>
    <t>Koprzywnica</t>
  </si>
  <si>
    <t>2613022</t>
  </si>
  <si>
    <t>Krasocin</t>
  </si>
  <si>
    <t>2607053</t>
  </si>
  <si>
    <t>Kunów</t>
  </si>
  <si>
    <t>2606032</t>
  </si>
  <si>
    <t>Lipnik</t>
  </si>
  <si>
    <t>2604073</t>
  </si>
  <si>
    <t>Łagów</t>
  </si>
  <si>
    <t>2610032</t>
  </si>
  <si>
    <t>Łączna</t>
  </si>
  <si>
    <t>2609052</t>
  </si>
  <si>
    <t>Łoniów</t>
  </si>
  <si>
    <t>2604082</t>
  </si>
  <si>
    <t>Łopuszno</t>
  </si>
  <si>
    <t>2612022</t>
  </si>
  <si>
    <t>Łubnice</t>
  </si>
  <si>
    <t>2602033</t>
  </si>
  <si>
    <t>Małogoszcz</t>
  </si>
  <si>
    <t>2604092</t>
  </si>
  <si>
    <t>Masłów</t>
  </si>
  <si>
    <t>2608032</t>
  </si>
  <si>
    <t>Michałów</t>
  </si>
  <si>
    <t>2604102</t>
  </si>
  <si>
    <t>Miedziana Góra</t>
  </si>
  <si>
    <t>2611032</t>
  </si>
  <si>
    <t>Mirzec</t>
  </si>
  <si>
    <t>2604112</t>
  </si>
  <si>
    <t>Mniów</t>
  </si>
  <si>
    <t>2604123</t>
  </si>
  <si>
    <t>Morawica</t>
  </si>
  <si>
    <t>2613032</t>
  </si>
  <si>
    <t>Moskorzew</t>
  </si>
  <si>
    <t>2602042</t>
  </si>
  <si>
    <t>Nagłowice</t>
  </si>
  <si>
    <t>2604132</t>
  </si>
  <si>
    <t>Nowa Słupia</t>
  </si>
  <si>
    <t>2601032</t>
  </si>
  <si>
    <t>Nowy Korczyn</t>
  </si>
  <si>
    <t>2609062</t>
  </si>
  <si>
    <t>Obrazów</t>
  </si>
  <si>
    <t>2602052</t>
  </si>
  <si>
    <t>Oksa</t>
  </si>
  <si>
    <t>2612032</t>
  </si>
  <si>
    <t>Oleśnica</t>
  </si>
  <si>
    <t>2603042</t>
  </si>
  <si>
    <t>Opatowiec</t>
  </si>
  <si>
    <t>2606043</t>
  </si>
  <si>
    <t>2612043</t>
  </si>
  <si>
    <t>Osiek</t>
  </si>
  <si>
    <t>2607011</t>
  </si>
  <si>
    <t>Ostrowiec Świętokrzyski</t>
  </si>
  <si>
    <t>2606053</t>
  </si>
  <si>
    <t>Ożarów</t>
  </si>
  <si>
    <t>2601042</t>
  </si>
  <si>
    <t>Pacanów</t>
  </si>
  <si>
    <t>2611042</t>
  </si>
  <si>
    <t>Pawłów</t>
  </si>
  <si>
    <t>2604142</t>
  </si>
  <si>
    <t>Piekoszów</t>
  </si>
  <si>
    <t>2604152</t>
  </si>
  <si>
    <t>Pierzchnica</t>
  </si>
  <si>
    <t>2608043</t>
  </si>
  <si>
    <t>Pińczów</t>
  </si>
  <si>
    <t>2612053</t>
  </si>
  <si>
    <t>Połaniec</t>
  </si>
  <si>
    <t>2613042</t>
  </si>
  <si>
    <t>Radków</t>
  </si>
  <si>
    <t>2605043</t>
  </si>
  <si>
    <t>Radoszyce</t>
  </si>
  <si>
    <t>2604162</t>
  </si>
  <si>
    <t>Raków</t>
  </si>
  <si>
    <t>2605052</t>
  </si>
  <si>
    <t>Ruda Maleniecka</t>
  </si>
  <si>
    <t>2612062</t>
  </si>
  <si>
    <t>Rytwiany</t>
  </si>
  <si>
    <t>2606062</t>
  </si>
  <si>
    <t>Sadowie</t>
  </si>
  <si>
    <t>2609072</t>
  </si>
  <si>
    <t>Samborzec</t>
  </si>
  <si>
    <t>2609011</t>
  </si>
  <si>
    <t>Sandomierz</t>
  </si>
  <si>
    <t>2613052</t>
  </si>
  <si>
    <t>Secemin</t>
  </si>
  <si>
    <t>2602063</t>
  </si>
  <si>
    <t>Sędziszów</t>
  </si>
  <si>
    <t>2604172</t>
  </si>
  <si>
    <t>2603053</t>
  </si>
  <si>
    <t>Skalbmierz</t>
  </si>
  <si>
    <t>2610042</t>
  </si>
  <si>
    <t>Skarżysko Kościelne</t>
  </si>
  <si>
    <t>2610011</t>
  </si>
  <si>
    <t>Skarżysko-Kamienna</t>
  </si>
  <si>
    <t>2602072</t>
  </si>
  <si>
    <t>Słupia</t>
  </si>
  <si>
    <t>2605062</t>
  </si>
  <si>
    <t>2605072</t>
  </si>
  <si>
    <t>Smyków</t>
  </si>
  <si>
    <t>2602082</t>
  </si>
  <si>
    <t>Sobków</t>
  </si>
  <si>
    <t>2601052</t>
  </si>
  <si>
    <t>Solec-Zdrój</t>
  </si>
  <si>
    <t>2611011</t>
  </si>
  <si>
    <t>Starachowice</t>
  </si>
  <si>
    <t>2612073</t>
  </si>
  <si>
    <t>Staszów</t>
  </si>
  <si>
    <t>2605083</t>
  </si>
  <si>
    <t>Stąporków</t>
  </si>
  <si>
    <t>2601063</t>
  </si>
  <si>
    <t>Stopnica</t>
  </si>
  <si>
    <t>2604182</t>
  </si>
  <si>
    <t>Strawczyn</t>
  </si>
  <si>
    <t>2610053</t>
  </si>
  <si>
    <t>Suchedniów</t>
  </si>
  <si>
    <t>2612082</t>
  </si>
  <si>
    <t>Szydłów</t>
  </si>
  <si>
    <t>2606072</t>
  </si>
  <si>
    <t>Tarłów</t>
  </si>
  <si>
    <t>2601072</t>
  </si>
  <si>
    <t>Tuczępy</t>
  </si>
  <si>
    <t>2607062</t>
  </si>
  <si>
    <t>Waśniów</t>
  </si>
  <si>
    <t>2611053</t>
  </si>
  <si>
    <t>Wąchock</t>
  </si>
  <si>
    <t>2609082</t>
  </si>
  <si>
    <t>Wilczyce</t>
  </si>
  <si>
    <t>2601083</t>
  </si>
  <si>
    <t>Wiślica</t>
  </si>
  <si>
    <t>2613063</t>
  </si>
  <si>
    <t>Włoszczowa</t>
  </si>
  <si>
    <t>2602092</t>
  </si>
  <si>
    <t>Wodzisław</t>
  </si>
  <si>
    <t>2606082</t>
  </si>
  <si>
    <t>Wojciechowice</t>
  </si>
  <si>
    <t>2604192</t>
  </si>
  <si>
    <t>Zagnańsk</t>
  </si>
  <si>
    <t>2609093</t>
  </si>
  <si>
    <t>Zawichost</t>
  </si>
  <si>
    <t>2608052</t>
  </si>
  <si>
    <t>Złota</t>
  </si>
  <si>
    <t>2661011</t>
  </si>
  <si>
    <t>Kielce</t>
  </si>
  <si>
    <t>kod powiatu</t>
  </si>
  <si>
    <t>nazwa powiatu</t>
  </si>
  <si>
    <t>ogółem</t>
  </si>
  <si>
    <t>2020</t>
  </si>
  <si>
    <t>2021</t>
  </si>
  <si>
    <t>2022</t>
  </si>
  <si>
    <t>2023</t>
  </si>
  <si>
    <t>2024</t>
  </si>
  <si>
    <t>2025</t>
  </si>
  <si>
    <t>2026</t>
  </si>
  <si>
    <t>wypełniają gminy</t>
  </si>
  <si>
    <t>*pole wymagane</t>
  </si>
  <si>
    <t>proszę wypełniać TYLKO pola zaznaczone na żółto</t>
  </si>
  <si>
    <t>pomoc</t>
  </si>
  <si>
    <t>kod gminy2</t>
  </si>
  <si>
    <t>kod powiatu2</t>
  </si>
  <si>
    <t>zadanie ZSO - wymagana powierzchnia, na której należy zmieić sposób ogrzewania [m2]</t>
  </si>
  <si>
    <t>KPP</t>
  </si>
  <si>
    <t>zadanie EE - wymagana liczba działań edukacyjnych w roku</t>
  </si>
  <si>
    <t>zadanie KPP - wymagana liczba kontroli w roku</t>
  </si>
  <si>
    <t>nazwa zadania</t>
  </si>
  <si>
    <t>Tabela 2. Sprawozdanie w zakresie działań edukacyjnych ujętych w harmonogramie realizacji POP</t>
  </si>
  <si>
    <t>wymagana liczba kampanii w roku</t>
  </si>
  <si>
    <t>liczba przeprowadzonych kampanii [szt.]</t>
  </si>
  <si>
    <t>liczba placówek oświatowych objętych edukacją ekologiczną [szt.]</t>
  </si>
  <si>
    <t>liczba przeprowadzonych akcji szkolnych [szt.]</t>
  </si>
  <si>
    <t>liczba przeprowadzonych konferencji [szt.]</t>
  </si>
  <si>
    <t>liczba osób objętych działaniami informacyjnymi i edukacyjnymi [szt.]</t>
  </si>
  <si>
    <t>podać liczbę liczbę placówek objętych działaniem opisanym w kolumnie 5</t>
  </si>
  <si>
    <t>podać liczbę przeprowadzonych akcji szkolnych opisanych w kolumnie 5</t>
  </si>
  <si>
    <t>podać liczbę przeprowadzonych konferencji opisanych w kolumnie 5</t>
  </si>
  <si>
    <t>podać szacunkową liczbę osob objetych działaniem opisanym w kolumnie 5</t>
  </si>
  <si>
    <t>SUMA</t>
  </si>
  <si>
    <r>
      <t>wskaźniki monitorowania postępu (wypełnić minimum jedno pole</t>
    </r>
    <r>
      <rPr>
        <b/>
        <sz val="9"/>
        <color rgb="FFFF0000"/>
        <rFont val="Calibri"/>
        <family val="2"/>
        <charset val="238"/>
      </rPr>
      <t>*</t>
    </r>
    <r>
      <rPr>
        <b/>
        <sz val="9"/>
        <color rgb="FF000000"/>
        <rFont val="Calibri"/>
        <family val="2"/>
        <charset val="238"/>
      </rPr>
      <t>)</t>
    </r>
  </si>
  <si>
    <t>Tabela 3. Sprawozdanie w zakresie podejmowanych działań kontrolnych w ramach realizacji POP i PDK</t>
  </si>
  <si>
    <t>wymagana liczba kontroli w roku</t>
  </si>
  <si>
    <t>suma przeprowadzonych kontroli</t>
  </si>
  <si>
    <t>liczba przeprowadzonych kontroli w zakresie przestrzegania zakazu spalania odpadów w urządzeniach nieprzeznaczonych do tego wraz z podaniem liczby popełnionych wykroczeń, udzielonych pouczeń, wystawionych mandatów, spraw skierowanych do sądu [szt.]</t>
  </si>
  <si>
    <t>liczba przeprowadzonych kontroli w zakresie przestrzegania wymagań określonych w uchwale, o której mowa w art. 96 ustawy z dnia 27 kwietnia 2001 r. – Prawo ochrony środowiska, wraz z podaniem liczby popełnionych wykroczeń, udzielonych pouczeń, wystawionych mandatów oraz spraw skierowanych do sądu [szt.]</t>
  </si>
  <si>
    <t>w_WK_eco</t>
  </si>
  <si>
    <t>zmiana starego kotła na nowy kocioł węglowy ekoprojekt</t>
  </si>
  <si>
    <t>w_WK_eco_b</t>
  </si>
  <si>
    <t>zmiana starego kotła na nowy kocioł na biomasę ekoprojekt</t>
  </si>
  <si>
    <t>termo+WK_eco</t>
  </si>
  <si>
    <t>termomodernizacja i zmiana kotła - węglowy ekoprojekt</t>
  </si>
  <si>
    <t>termo+WK_eco_b</t>
  </si>
  <si>
    <t>termomodernizacja i zmiana kotła - na biomasę ekoprojekt</t>
  </si>
  <si>
    <t>termomodernizacja i zmiana paliwa na gazowe</t>
  </si>
  <si>
    <t>termomodernizacja i zmiana paliwa na olejowe</t>
  </si>
  <si>
    <r>
      <t>[g PM10/(m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</si>
  <si>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r>
      <t>[g PM2,5/(m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</si>
  <si>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t>wykryte wykroczenia</t>
  </si>
  <si>
    <t>pouczenia</t>
  </si>
  <si>
    <t>mandaty</t>
  </si>
  <si>
    <t>sprawy skierowane do sądu</t>
  </si>
  <si>
    <t>podać liczbę wszystkich przeprowadzonych kontroli instalacji</t>
  </si>
  <si>
    <t>w tym liczba wykrytych w czasie kontroli wykroczeń</t>
  </si>
  <si>
    <t>w tym liczba udzielonych w czasie kontroli pouczeń</t>
  </si>
  <si>
    <t>w tym liczba wystawionych w czasie kontroli mandatów</t>
  </si>
  <si>
    <t>w tym liczba spraw skierowanych do sądu</t>
  </si>
  <si>
    <t>rodzaj konroli</t>
  </si>
  <si>
    <t>(rrrr-mm-dd)</t>
  </si>
  <si>
    <t>rok sprawozdawczy</t>
  </si>
  <si>
    <t>wskaźniki monitorowanie zadania ZSO</t>
  </si>
  <si>
    <t>wskaźniki efektu</t>
  </si>
  <si>
    <t>liczba i powierzchnia budynków, w tym jednorodzinnych i wielorodzinnych, w których zlikwidowano nieefektywne indywidulne źródło ciepła na paliwa stałe i podłączono do sieci ciepłowniczej</t>
  </si>
  <si>
    <t>liczba i powierzchnia budynków, w tym jednorodzinnych i wielorodzinnych, w których nieefektywne indywidulne źródło ciepła na paliwa stałe zastąpiono ogrzewaniem gazowym</t>
  </si>
  <si>
    <t>liczba i powierzchnia budynków, w tym jednorodzinnych i wielorodzinnych, w których nieefektywne indywidulne źródło ciepła na paliwa stałe zastąpiono odnawialnym źródłem energii</t>
  </si>
  <si>
    <t>liczba i powierzchnia budynków, w tym jednorodzinnych i wielorodzinnych, w których nieefektywne indywidulne źródło ciepła na paliwa stałe zastąpiono kotłem węglowym spełniającym wymagania ekoprojektu</t>
  </si>
  <si>
    <t>liczba i powierzchnia budynków, w tym jednorodzinnych i wielorodzinnych, w których nieefektywne indywidulne źródło ciepła na paliwa stałe zastąpiono kotłem na biomasę spełniającym wymagania ekoprojektu</t>
  </si>
  <si>
    <t>liczba i powierzchnia budynków, w tym jednorodzinnych i wielorodzinnych, w których nieefektywne indywidulne źródło ciepła na paliwa stałe zastąpiono ogrzewaniem elektrycznym</t>
  </si>
  <si>
    <t>liczba i powierzchnia budynków, w tym jednorodzinnych i wielorodzinnych, w których nieefektywne indywidulne źródło ciepła na paliwa stałe zastąpiono ogrzewaniem olejowym</t>
  </si>
  <si>
    <t>liczba i powierzchnia budynków, w tym jednorodzinnych i wielorodzinnych, w których zlikwidowano nieefektywne indywidulne źródło ciepła na paliwa stałe i podłączono do sieci ciepłowniczej oraz przeprowadzono termomodernizację</t>
  </si>
  <si>
    <t>liczba i powierzchnia budynków, w tym jednorodzinnych i wielorodzinnych, w których nieefektywne indywidulne źródło ciepła na paliwa stałe zastąpiono ogrzewaniem gazowym oraz przeprowadzono termomodernizację</t>
  </si>
  <si>
    <t>liczba i powierzchnia budynków, w tym jednorodzinnych i wielorodzinnych, w których nieefektywne indywidulne źródło ciepła na paliwa stałe zastąpiono odnawialnym źródłem energii oraz przeprowadzono termomodernizację</t>
  </si>
  <si>
    <t>liczba i powierzchnia budynków, w tym jednorodzinnych i wielorodzinnych, w których nieefektywne indywidulne źródło ciepła na paliwa stałe zastąpiono kotłem węglowym spełniającym wymagania ekoprojektu oraz przeprowadzono termomodernizację</t>
  </si>
  <si>
    <t>liczba i powierzchnia budynków, w tym jednorodzinnych i wielorodzinnych, w których nieefektywne indywidulne źródło ciepła na paliwa stałe zastąpiono kotłem na biomasę spełniającym wymagania ekoprojektu oraz przeprowadzono termomodernizację</t>
  </si>
  <si>
    <t>liczba i powierzchnia budynków, w tym jednorodzinnych i wielorodzinnych, w których nieefektywne indywidulne źródło ciepła na paliwa stałe zastąpiono ogrzewaniem elektrycznym oraz przeprowadzono termomodernizację</t>
  </si>
  <si>
    <t>liczba i powierzchnia budynków, w tym jednorodzinnych i wielorodzinnych, w których nieefektywne indywidulne źródło ciepła na paliwa stałe zastąpiono ogrzewaniem olejowym oraz przeprowadzono termomodernizację</t>
  </si>
  <si>
    <t>wskaźniki do tab.1_ZSO</t>
  </si>
  <si>
    <t>liczba i powierzchnia budynków, w tym jednorodzinnych i wielorodzinnych, w których nieefektywne indywidulne źródło ciepła na paliwa stałe</t>
  </si>
  <si>
    <t>zlikwidowano i podłączono do sieci ciepłowniczej</t>
  </si>
  <si>
    <t>zastąpiono ogrzewaniem gazowym</t>
  </si>
  <si>
    <t>zastąpiono odnawialnym źródłem energii</t>
  </si>
  <si>
    <t>zastąpiono kotłem węglowym spełniającym wymagania ekoprojektu</t>
  </si>
  <si>
    <t>zastąpiono kotłem na biomasę spełniającym wymagania ekoprojektu</t>
  </si>
  <si>
    <t>zastąpiono ogrzewaniem elektrycznym</t>
  </si>
  <si>
    <t>zastąpiono ogrzewaniem olejowym</t>
  </si>
  <si>
    <t>zlikwidowano i podłączono do sieci ciepłowniczej oraz przeprowadzono termomodernizację</t>
  </si>
  <si>
    <t>zastąpiono ogrzewaniem gazowym oraz przeprowadzono termomodernizację</t>
  </si>
  <si>
    <t>zastąpiono odnawialnym źródłem energii oraz przeprowadzono termomodernizację</t>
  </si>
  <si>
    <t>zastąpiono kotłem węglowym spełniającym wymagania ekoprojektu oraz przeprowadzono termomodernizację</t>
  </si>
  <si>
    <t>zastąpiono kotłem na biomasę spełniającym wymagania ekoprojektu oraz przeprowadzono termomodernizację</t>
  </si>
  <si>
    <t>zastąpiono ogrzewaniem elektrycznym oraz przeprowadzono termomodernizację</t>
  </si>
  <si>
    <t>zastąpiono ogrzewaniem olejowym oraz przeprowadzono termomodernizację</t>
  </si>
  <si>
    <t>podać miejscowość lub osiedle w gminach miejskich, gdzie zostało przeprowadzone działanie naprawcze</t>
  </si>
  <si>
    <t>wskaźnik konitorowania postępu</t>
  </si>
  <si>
    <t>liczba kotłów [szt.]</t>
  </si>
  <si>
    <t>proszę wybrać wskaźnik z listy rozwijanej</t>
  </si>
  <si>
    <t>zestaw wsk_efektu</t>
  </si>
  <si>
    <r>
      <t>koszty łącznie [zł]</t>
    </r>
    <r>
      <rPr>
        <b/>
        <sz val="9"/>
        <color rgb="FFFF0000"/>
        <rFont val="Calibri"/>
        <family val="2"/>
        <charset val="238"/>
      </rPr>
      <t>*</t>
    </r>
  </si>
  <si>
    <t>kod_efektu</t>
  </si>
  <si>
    <t>BaP</t>
  </si>
  <si>
    <r>
      <t>[g B(a)P/(m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</si>
  <si>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t>opis</t>
  </si>
  <si>
    <t>Tabela 1. Sprawozdanie w zakresie działań ograniczających emisję z instalacji o małej mocy do 1 MW ujętych w harmonogramie realizacji POP</t>
  </si>
  <si>
    <t>1. Ogólne</t>
  </si>
  <si>
    <t>2. Link do strony internetowej, na której został zamieszczony plan działań krótkoterminowych</t>
  </si>
  <si>
    <t>Pole tekstowe</t>
  </si>
  <si>
    <t>Jeśli tak, proszę podać szczegóły</t>
  </si>
  <si>
    <t>Tekst – maksymalnie 600 znaków</t>
  </si>
  <si>
    <t>3. Proszę opisać wszystkie aspekty wdrażania planu oraz dodać swoje uwagi i doświadczenia</t>
  </si>
  <si>
    <t>5. Plany działań krótkoterminowych: udostępnienie informacji do publicznej wiadomości:</t>
  </si>
  <si>
    <t>5.2. Link do strony internetowej, na której została zamieszczona informacja</t>
  </si>
  <si>
    <t>Tekst - maksymalnie 600 znaków</t>
  </si>
  <si>
    <t>6. Plany działań krótkoterminowych: wpływ</t>
  </si>
  <si>
    <t>6.1. Proszę podać informację na temat wpływu i skuteczności podjętych działań przez sektory</t>
  </si>
  <si>
    <t>6.2. Jakie działania zostały uznane za najbardziej skuteczne? Proszę opisać te działania i wyjaśnić dlaczego</t>
  </si>
  <si>
    <t>7. Pozostałe problemy</t>
  </si>
  <si>
    <t>8. Uwagi</t>
  </si>
  <si>
    <t>Tekst</t>
  </si>
  <si>
    <t>opis pól</t>
  </si>
  <si>
    <t>Tekst – maksymalnie 600 znaków, jeżeli w punkcie 4 zaznaczono „Tak”.</t>
  </si>
  <si>
    <t>Tab. 5. Sprawozdanie z realizacji planu działań krótkoterminowych</t>
  </si>
  <si>
    <t>Należy zaznaczyć prawidłową odpowiedź.</t>
  </si>
  <si>
    <t>proszę podać łączną liczbę zlikwidowanych lub zmienionych kotłów wskazanych w kolumnie 8</t>
  </si>
  <si>
    <t>proszę podać łączną powierzchnię lokali, budynków, na której przeprowadzono zmiany wskazane w kolumnie 8</t>
  </si>
  <si>
    <t>p1</t>
  </si>
  <si>
    <t>p2</t>
  </si>
  <si>
    <t>p3</t>
  </si>
  <si>
    <r>
      <t>wymagana powierzchnia w roku sprawozdawczym w gminie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</si>
  <si>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r>
      <t>efekt rzeczowy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</si>
  <si>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t>nie dotyczy</t>
  </si>
  <si>
    <t>tab.1_ZSO_gminy</t>
  </si>
  <si>
    <t>tab.1_ZSO_powiaty</t>
  </si>
  <si>
    <t>tab.2_EE_gminy</t>
  </si>
  <si>
    <t>tab.3_KPP</t>
  </si>
  <si>
    <t>Opis - wypełniają GMINY</t>
  </si>
  <si>
    <t>Opis - wypełniają STAROSTWA POWIATOWE</t>
  </si>
  <si>
    <t>tab.5_PDK</t>
  </si>
  <si>
    <t>tab.2_EE_org</t>
  </si>
  <si>
    <t>tab.4_BDO</t>
  </si>
  <si>
    <t>informacje szczegółowe o realizacji zadań edukacyjnych (EE) przez organizacje</t>
  </si>
  <si>
    <t>Arkusz wypełniają:</t>
  </si>
  <si>
    <t>tabela_informacyjna_dla_JST</t>
  </si>
  <si>
    <t>informacje szczegółowe o realizacji zadań budowy dróg (BDO) przez zarządców dróg</t>
  </si>
  <si>
    <t>tabela_informacyjna_dla_innych</t>
  </si>
  <si>
    <r>
      <rPr>
        <b/>
        <sz val="11"/>
        <color rgb="FFFF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pole wymagane</t>
    </r>
  </si>
  <si>
    <t>tab.1_ZSO_zarządcy</t>
  </si>
  <si>
    <t>wypełniają powiaty</t>
  </si>
  <si>
    <r>
      <t>powierzchnia [m</t>
    </r>
    <r>
      <rPr>
        <b/>
        <vertAlign val="superscript"/>
        <sz val="9"/>
        <color rgb="FF000000"/>
        <rFont val="Calibri"/>
        <family val="2"/>
        <charset val="238"/>
      </rPr>
      <t>2</t>
    </r>
    <r>
      <rPr>
        <b/>
        <sz val="9"/>
        <color rgb="FF000000"/>
        <rFont val="Calibri"/>
        <family val="2"/>
        <charset val="238"/>
      </rPr>
      <t>]</t>
    </r>
    <r>
      <rPr>
        <b/>
        <sz val="9"/>
        <color rgb="FFFF0000"/>
        <rFont val="Calibri"/>
        <family val="2"/>
        <charset val="238"/>
      </rPr>
      <t>*</t>
    </r>
  </si>
  <si>
    <r>
      <t>wymagany efekt rzeczowy w gminie powierzchnia ogółem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</si>
  <si>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r>
      <t>wskaźniki monitorowania postępu (wypełnić minimum jeden obszar: zielony lub pomarańczowy</t>
    </r>
    <r>
      <rPr>
        <b/>
        <sz val="9"/>
        <color rgb="FFFF0000"/>
        <rFont val="Calibri"/>
        <family val="2"/>
        <charset val="238"/>
      </rPr>
      <t>*</t>
    </r>
    <r>
      <rPr>
        <b/>
        <sz val="9"/>
        <color rgb="FF000000"/>
        <rFont val="Calibri"/>
        <family val="2"/>
        <charset val="238"/>
      </rPr>
      <t>)</t>
    </r>
  </si>
  <si>
    <t>Prowadzenie działań promocyjnych i edukacyjnych (ulotki, imprezy, akcje szkolne, audycje, konferencje) oraz informacyjnych i szkoleniowych</t>
  </si>
  <si>
    <t>3) organizacje</t>
  </si>
  <si>
    <t>4) zarządcy dróg</t>
  </si>
  <si>
    <t>2) zarządzający nieruchomościamu, budynkami lub lokalami</t>
  </si>
  <si>
    <t>infrmacje ogólne - część wypełniana przez organizacje</t>
  </si>
  <si>
    <t>infrmacje ogólne - część wypełniana przez zarządców dróg</t>
  </si>
  <si>
    <t>infrmacje ogólne - część wypełniana przez zarządzających nieruchomościami, budynkami lub lokalami</t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</si>
  <si>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przez powiaty</t>
    </r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</si>
  <si>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przez zarządzających</t>
    </r>
  </si>
  <si>
    <t>Należy zaznaczyć JEDNĄ prawidłową odpowiedź.</t>
  </si>
  <si>
    <t>2.1. Czy były stwierdzone przekroczenia poziomów alarmowych (zwanych dalej „PA”) lub istotne przekroczenia (ponad 200%) poziomów dopuszczalnych (zwanych dalej „PD”) lub docelowych (zwanych dalej „PDC”) w danym roku sprawozdawczym - w przypadku sprawozdania okresowego oraz w ciągu ostatnich trzech lat - w przypadku sprawozdania końcowego?</t>
  </si>
  <si>
    <t>Tekst – maksymalnie 400 znaków</t>
  </si>
  <si>
    <t>4. Czy uruchomiono działania określone planem działań krótkoterminowych?</t>
  </si>
  <si>
    <t>4.1. Jeżeli tak, to jak często i w jakich sytuacjach? Proszę opisać</t>
  </si>
  <si>
    <t>5.1. Czy informacje o uruchomieniu działań określonych planem były podawane do publicznej wiadomości?</t>
  </si>
  <si>
    <t>5.3. Proszę opisać ogólną strategię udostępniania informacji, w tym podstawowym grupom zainteresowanych stron</t>
  </si>
  <si>
    <t>6.3. Proszę podać linki do raportów lub odniesienia do innych dokumentów wykorzystane do przygotowania sprawozdania z planu działań krótkoterminowych (np. linki do stron internetowych, na których zamieszczane były komunikaty)</t>
  </si>
  <si>
    <t>Powiaty</t>
  </si>
  <si>
    <t>* pole wymagane</t>
  </si>
  <si>
    <r>
      <t xml:space="preserve">Wypełniony arkusz sprawozdawczy należy przesłać w formie edytowalnej </t>
    </r>
    <r>
      <rPr>
        <b/>
        <sz val="12"/>
        <color rgb="FFC00000"/>
        <rFont val="Calibri"/>
        <family val="2"/>
        <charset val="238"/>
      </rPr>
      <t>do 15 lutego każdego roku:</t>
    </r>
  </si>
  <si>
    <t>25-516 Kielce, aleja IX Wieków Kielc 3</t>
  </si>
  <si>
    <t>liczba kontroli</t>
  </si>
  <si>
    <r>
      <t>Rok sprawozdawczy</t>
    </r>
    <r>
      <rPr>
        <sz val="9"/>
        <color rgb="FFFF0000"/>
        <rFont val="Calibri"/>
        <family val="2"/>
        <charset val="238"/>
      </rPr>
      <t>*</t>
    </r>
  </si>
  <si>
    <r>
      <t>Imię i nazwisko osoby do kontaktu</t>
    </r>
    <r>
      <rPr>
        <sz val="9"/>
        <color rgb="FFFF0000"/>
        <rFont val="Calibri"/>
        <family val="2"/>
        <charset val="238"/>
      </rPr>
      <t>*</t>
    </r>
  </si>
  <si>
    <r>
      <t>Numer służbowego telefonu osoby do kontaktu</t>
    </r>
    <r>
      <rPr>
        <sz val="9"/>
        <color rgb="FFFF0000"/>
        <rFont val="Calibri"/>
        <family val="2"/>
        <charset val="238"/>
      </rPr>
      <t>*</t>
    </r>
  </si>
  <si>
    <r>
      <t>Służbowy adres e-mail osoby do kontaktu</t>
    </r>
    <r>
      <rPr>
        <sz val="9"/>
        <color rgb="FFFF0000"/>
        <rFont val="Calibri"/>
        <family val="2"/>
        <charset val="238"/>
      </rPr>
      <t>*</t>
    </r>
  </si>
  <si>
    <t>zgodnie z uchwałą Nr LXIV/798/23 Sejmiku Województwa Świętokrzyskiego z dnia 25 września 2023 roku</t>
  </si>
  <si>
    <r>
      <t xml:space="preserve">liczba dni w roku z informacją o wystąpieniu na terenie gminy/powiatu </t>
    </r>
    <r>
      <rPr>
        <sz val="9"/>
        <color rgb="FFFF9900"/>
        <rFont val="Calibri"/>
        <family val="2"/>
        <charset val="238"/>
      </rPr>
      <t>ALARMU I STOPNIA</t>
    </r>
    <r>
      <rPr>
        <sz val="9"/>
        <rFont val="Calibri"/>
        <family val="2"/>
        <charset val="238"/>
      </rPr>
      <t xml:space="preserve"> PDK</t>
    </r>
    <r>
      <rPr>
        <sz val="9"/>
        <color rgb="FFFF0000"/>
        <rFont val="Calibri"/>
        <family val="2"/>
        <charset val="238"/>
      </rPr>
      <t>*</t>
    </r>
  </si>
  <si>
    <r>
      <t xml:space="preserve">liczba dni w roku z informacją o wystąpieniu na terenie gminy/powiatu </t>
    </r>
    <r>
      <rPr>
        <sz val="9"/>
        <color rgb="FFFF0000"/>
        <rFont val="Calibri"/>
        <family val="2"/>
        <charset val="238"/>
      </rPr>
      <t>ALARMU II STOPNIA</t>
    </r>
    <r>
      <rPr>
        <sz val="9"/>
        <rFont val="Calibri"/>
        <family val="2"/>
        <charset val="238"/>
      </rPr>
      <t xml:space="preserve"> PDK</t>
    </r>
    <r>
      <rPr>
        <sz val="9"/>
        <color rgb="FFFF0000"/>
        <rFont val="Calibri"/>
        <family val="2"/>
        <charset val="238"/>
      </rPr>
      <t>*</t>
    </r>
  </si>
  <si>
    <r>
      <t>nazwa wskaźnika</t>
    </r>
    <r>
      <rPr>
        <b/>
        <sz val="9"/>
        <color rgb="FFFF0000"/>
        <rFont val="Calibri"/>
        <family val="2"/>
        <charset val="238"/>
      </rPr>
      <t>*</t>
    </r>
  </si>
  <si>
    <t>osiągnięty efekt redukcji emisji [kg/rok]</t>
  </si>
  <si>
    <t>wskazać źródła finansowania działania, wskazując wysokość dofinansowania dla poszczególnych źródeł</t>
  </si>
  <si>
    <r>
      <t>w tym wysokość uzyskanego dofinansowania zewnętrznego [zł/rok]</t>
    </r>
    <r>
      <rPr>
        <b/>
        <sz val="9"/>
        <color rgb="FFFF0000"/>
        <rFont val="Calibri"/>
        <family val="2"/>
        <charset val="238"/>
      </rPr>
      <t>*</t>
    </r>
  </si>
  <si>
    <r>
      <t>sposób finansowania</t>
    </r>
    <r>
      <rPr>
        <b/>
        <sz val="9"/>
        <color rgb="FFFF0000"/>
        <rFont val="Calibri"/>
        <family val="2"/>
        <charset val="238"/>
      </rPr>
      <t>*</t>
    </r>
  </si>
  <si>
    <t>proszę wybrać z listy:
kontrole rutynowe,
kontrole w trakcie PDK (Alarm I lub II stopnia)</t>
  </si>
  <si>
    <t>proszę podać datę obowiązywania Alarmu I lub Alarmu II stopnia</t>
  </si>
  <si>
    <t>data obowiązywania Alarmu I lub Alarmu II stopnia</t>
  </si>
  <si>
    <r>
      <t>w tym wysokość uzyskanego dofinansowania zewnętrznego [zł]</t>
    </r>
    <r>
      <rPr>
        <b/>
        <sz val="9"/>
        <color rgb="FFFF0000"/>
        <rFont val="Calibri"/>
        <family val="2"/>
        <charset val="238"/>
      </rPr>
      <t>*</t>
    </r>
  </si>
  <si>
    <r>
      <t>Gmina</t>
    </r>
    <r>
      <rPr>
        <sz val="9"/>
        <color rgb="FFFF0000"/>
        <rFont val="Calibri"/>
        <family val="2"/>
        <charset val="238"/>
      </rPr>
      <t>*</t>
    </r>
  </si>
  <si>
    <r>
      <t xml:space="preserve">opis realizacji zadania w roku sprawozdawczym
</t>
    </r>
    <r>
      <rPr>
        <b/>
        <sz val="9"/>
        <color rgb="FFFF0000"/>
        <rFont val="Calibri"/>
        <family val="2"/>
        <charset val="238"/>
      </rPr>
      <t>(dotyczy tylko zadań mających na celu ochronę powietrza)</t>
    </r>
  </si>
  <si>
    <t>Nazwa Urzędu Marszałkowskiego przyjmującego sprawozdanie</t>
  </si>
  <si>
    <t>Gmina</t>
  </si>
  <si>
    <t>Rok sprawozdawczy</t>
  </si>
  <si>
    <t>Informacje ogólne na temat sprawozdania z Programu ochrony powietrza</t>
  </si>
  <si>
    <t>Informacje ogólne na temat sprawozdania z PDK (Plan działań krótkoterminowych)</t>
  </si>
  <si>
    <r>
      <t>Powiat</t>
    </r>
    <r>
      <rPr>
        <sz val="9"/>
        <color rgb="FFFF0000"/>
        <rFont val="Calibri"/>
        <family val="2"/>
        <charset val="238"/>
      </rPr>
      <t>*</t>
    </r>
  </si>
  <si>
    <t>Sitkówka</t>
  </si>
  <si>
    <t>Słupia Konecka</t>
  </si>
  <si>
    <t>Nowiny</t>
  </si>
  <si>
    <t>Sprawozdanie okresowe z realizacji programu ochrony powietrza oraz jego aktualizacji</t>
  </si>
  <si>
    <t>I. Informacja ogólna na temat sprawozdania okresowego z realizacji programu ochrony powietrza</t>
  </si>
  <si>
    <t xml:space="preserve"> Zawartość</t>
  </si>
  <si>
    <t>Rok referencyjny</t>
  </si>
  <si>
    <t>Adres strony internetowej, pod którym znajduje się sprawozdanie okresowe z realizacji programu ochrony powietrza</t>
  </si>
  <si>
    <t>II. Zestawienie informacji na temat realizacji działań naprawczych</t>
  </si>
  <si>
    <t>Tytuł</t>
  </si>
  <si>
    <t xml:space="preserve">Tekst </t>
  </si>
  <si>
    <t>Opis</t>
  </si>
  <si>
    <t>Obszar</t>
  </si>
  <si>
    <t>Termin zastosowania</t>
  </si>
  <si>
    <t>Stan zaawansowania realizacji działania naprawczego w odniesieniu do wartości zaplanowanej do wykonania w danym roku sprawozdawczym</t>
  </si>
  <si>
    <t>Skala czasowa osiągnięcia redukcji stężenia</t>
  </si>
  <si>
    <t>Kategoria źródeł emisji, której dotyczy działanie naprawcze</t>
  </si>
  <si>
    <t>Efekt rzeczowy działania naprawczego obliczony (oszacowany) na podstawie wskaźnika(ów) monitorowania postępu realizacji działania naprawczego w ciągu roku realizacji programu ochrony powietrza</t>
  </si>
  <si>
    <t xml:space="preserve">Wysokość poniesionych kosztów (w PLN) </t>
  </si>
  <si>
    <t>Wysokość poniesionych kosztów (w EUR)</t>
  </si>
  <si>
    <t>Dotychczas poniesione koszty łączne obejmują wszystkie koszty poniesione przez sektor/sektory wskazane jako odpowiedzialne za realizację działania naprawczego (liczba) w PLN, które następnie należy przeliczyć na EUR, według obowiązującego kursu walut na dzień sporządzenia sprawozdania</t>
  </si>
  <si>
    <t>Kod strefy</t>
  </si>
  <si>
    <t>PL26PM10dPM2.5aBaPa_2018</t>
  </si>
  <si>
    <t>Kod działania naprawczego</t>
  </si>
  <si>
    <t>Kod sytuacji przekroczenia</t>
  </si>
  <si>
    <t>Odpowiedź (działanie naprawcze nr 1)</t>
  </si>
  <si>
    <t xml:space="preserve">Odpowiedź (działanie naprawcze nr 2) </t>
  </si>
  <si>
    <t>Obniżenie emisji z indywidualnych systemów grzewczych opalanych paliwami stałymi:
1. zastąpienie niskosprawnych urządzeń grzewczych podłączeniem do sieci ciepłowniczej lub urządzeniami na gaz;
2. wymiana niskosprawnych kotłów na paliwa stałe na: 
- kotły zasilane olejem opałowym,
- ogrzewanie elektryczne,
- OZE,
- kotły węglowe spełniające wymagania ekoprojektu;
3. stosowanie w nowo powstałych budynkach hierarchii źródeł ogrzewania: 
- OZE, 
- podłączenie do sieci ciepłowniczej lub sieci gazowej, 
- urządzenia opalane olejem, 
- ogrzewanie elektryczne, 
- kotły spełniające wymagania ekoprojektu; 
4. termomodernizacja – kompleksowa termomodernizacja wraz z wymianą urządzeń grzewczych.</t>
  </si>
  <si>
    <t>Działania edukacyjne i informacyjne realizowane poprzez: 
- prowadzenie akcji edukacyjnych uświadamiających mieszkańcom zagrożenia dla zdrowia, jakie niesie ze sobą zanieczyszczenie powietrza,
- prowadzenie akcji edukacyjnych uświadamiających mieszkańcom wpływ spalania paliw niskiej jakości oraz odpadów na jakość powietrza,
- informowanie mieszkańców o zakazach związanych z postępowaniem z odpadami w zakresie ich spalania poza instalacjami.</t>
  </si>
  <si>
    <t>Nazwa i kod strefy</t>
  </si>
  <si>
    <t>1.01.2022 r.</t>
  </si>
  <si>
    <t>Odpowiedź (działanie naprawcze nr 3)</t>
  </si>
  <si>
    <t>Działalność kontrolna powinna obejmować:
- przestrzeganie zakazu spalania odpadów w kotłach i piecach,
- przestrzeganie zakazu spalania odpadów zielonych, a także przestrzegania zakazu wypalania traw i łąk,
- przestrzeganie zapisów uchwały, o której mowa w art. 96 ustawy POŚ.</t>
  </si>
  <si>
    <t>liczba budynków, w których zlikwidowano lub wymieniono nieefektywne indywidualne źródło ciepła na paliwa stałe (szt.)</t>
  </si>
  <si>
    <t>liczba przeprowadzonych kontroli w zakresie przestrzegania wymagań określonych w uchwale, o której mowa w art. 96 ustawy z dnia 27 kwietnia 2001 r. – Prawo ochrony środowiska (szt.)</t>
  </si>
  <si>
    <t>liczba przeprowadzonych kontroli w zakresie przestrzegania zakazu spalania odpadów w urządzeniach nieprzeznaczonych do tego (szt.)</t>
  </si>
  <si>
    <t>długoterminowe</t>
  </si>
  <si>
    <t>krótkoterminowe</t>
  </si>
  <si>
    <t>źródła związane z handlem i mieszkalnictwem</t>
  </si>
  <si>
    <t>pył PM10</t>
  </si>
  <si>
    <t>pył PM2,5</t>
  </si>
  <si>
    <t>b(a)p</t>
  </si>
  <si>
    <t>liczba placówek oświatowych objętych edukacją ekologiczną (szt.)</t>
  </si>
  <si>
    <t>liczba przeprowadzonych kampanii (szt.)</t>
  </si>
  <si>
    <t>liczba przeprowadzonych akcji szkolnych (szt.)</t>
  </si>
  <si>
    <t>liczba osób objętych działaniami informacyjnymi i edukacyjnymi (szt.)</t>
  </si>
  <si>
    <t>liczba przeprowadzonych konferencji (szt.)</t>
  </si>
  <si>
    <r>
      <t>powierzchnia budynków, w których zlikwidowano lub wymieniono nieefektywne indywidulne źródło ciepła na paliwa stałe (m</t>
    </r>
    <r>
      <rPr>
        <sz val="12"/>
        <color theme="1"/>
        <rFont val="Calibri"/>
        <family val="2"/>
        <charset val="238"/>
      </rPr>
      <t>²</t>
    </r>
    <r>
      <rPr>
        <sz val="12"/>
        <color theme="1"/>
        <rFont val="Times New Roman"/>
        <family val="1"/>
        <charset val="238"/>
      </rPr>
      <t>)</t>
    </r>
  </si>
  <si>
    <t>Należy wypełnić pola zaznaczone na żółto</t>
  </si>
  <si>
    <t>2618swkPM10d01, 2618swkPM10d02, 2618swkPM10d03, 2618swkPM10d04, 2618swkPM10d05, 2618swkPM10d06, 2618swkPM10d07, 2618swkPM10d08, 2618swkPM10d09, 2618swkPM10d10, 2618swkPM10d11, 2618swkPM10d12, 2618swkPM10d13, 2618swkPM10d14, 2618swkPM10d15, 2618swkPM10d16, 2618swkPM10d17, 2618swkPM10d18, 2618swkPM10d19, 2618swkPM10d20, 2618swkPM10d21, 2618swkPM10d22; 2618swkPM2.5a01, 2618swkPM2.5a02, 2618swkPM2.5a03, 2618swkPM2.5a04, 2618swkPM2.5a05, 2618swkPM2.5a06, 2618swkPM2.5a07, 2618swkPM2.5a08, 2618swkPM2.5a09, 2618swkPM2.5a10, 2618swkPM2.5a11, 2618swkPM2.5a12, 2618swkPM2.5a13, 2618swkPM2.5a14, 2618swkPM2.5a15, 2618swkPM2.5a16, 2618swkPM2.5a17, 2618swkPM2.5a18, 2618swkPM2.5a19, 2618swkPM2.5a20, 2618swkPM2.5a21, 2618swkPM2.5a22, 2618swkPM2.5a23, 2618swkPM2.5a24, 2618swkPM2.5a25, 2618swkPM2.5a26, 2618swkPM2.5a27, 2618swkPM2.5a28, 2618swkPM2.5a29, 2618swkPM2.5a30, 2618swkPM2.5a31, 2618swkPM2.5a32, 2618swkPM2.5a33, 2618swkPM2.5a34; 
2618swkBaPa01</t>
  </si>
  <si>
    <t>świętokrzyska - PL2602</t>
  </si>
  <si>
    <t>Obszar woj. św. z wył. m. Kielce, w pd. części centr. Polski, obszar 11 601 km². Liczba mieszkańców 1046 tys. Strefa znajduje się w większości na Wyż. Kieleckiej. Pn.-zach. należy do Wyż. Przedborskiej, a pd. w obrębie Niecki Nidziańskiej. Wzdłuż pd. i wysokich terenów rozciąga się Niz. Nadwiślańska, należąca do Kotliny Sandomierskiej. Centralnie Góry Świętokrzyskie z 28 pasmami górskimi. Rozciągają się od zach. na wsch. równolegle do siebie. Większość ma przebieg zbliżony do równoleżnikowego, co ułatwia względnie swobodny przepływ powietrza z zach. i wsch. ale stanowi lokalną barierę dla mas na pn. i pd. Pd.-wsch. cechuje obniżenie terenu, gdyż znajduje się tu Niz. Nadwiślańska z Doliną Wisły.</t>
  </si>
  <si>
    <t>Kod programu ochrony powietrza</t>
  </si>
  <si>
    <t>Nazwa urzędu</t>
  </si>
  <si>
    <t>Adres pocztowy urzędu</t>
  </si>
  <si>
    <t xml:space="preserve">Imię/imiona i nazwisko/nazwiska pracownika/pracowników urzędu odpowiedzialnego/odpowiedzialnych za przygotowanie danych </t>
  </si>
  <si>
    <t xml:space="preserve">Służbowy telefon pracownika/ pracowników urzędu odpowiedzialnego/ odpowiedzialnych za przygotowanie danych  </t>
  </si>
  <si>
    <t xml:space="preserve">Służbowy adres poczty elektronicznej pracownika/ pracowników urzędu odpowiedzialnego/ odpowiedzialnych za przygotowanie danych  </t>
  </si>
  <si>
    <t>1.01.2023 r.</t>
  </si>
  <si>
    <t>Arkusz służy do przygotowania rocznego sprawozdania z realizacji zadań zawartych w "Aktualizacji Programu ochrony powietrza dla województwa świętokrzyskiego wraz z planem działań krótkoterminowych"</t>
  </si>
  <si>
    <t>Redukcja wielkości emisji poszczególnych substancji w powietrzu osiągnięta w wyniku realizacji działania naprawczego w ciągu roku realizacji programu ochrony powietrza (Mg/rok)</t>
  </si>
  <si>
    <r>
      <t xml:space="preserve">informacje ogólne -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</si>
  <si>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</si>
  <si>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EE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</si>
  <si>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KPP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</si>
  <si>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PDK </t>
    </r>
    <r>
      <rPr>
        <b/>
        <sz val="11"/>
        <rFont val="Calibri"/>
        <family val="2"/>
        <charset val="238"/>
      </rPr>
      <t>(gminy)</t>
    </r>
  </si>
  <si>
    <t>jednostki samorządu terytorialnego</t>
  </si>
  <si>
    <r>
      <rPr>
        <b/>
        <u/>
        <sz val="12"/>
        <color rgb="FFFF0000"/>
        <rFont val="Calibri"/>
        <family val="2"/>
        <charset val="238"/>
      </rPr>
      <t xml:space="preserve">wyłącznie w edytowalnej formie, elektronicznie </t>
    </r>
    <r>
      <rPr>
        <b/>
        <sz val="12"/>
        <rFont val="Calibri"/>
        <family val="2"/>
        <charset val="238"/>
      </rPr>
      <t>na adres e-doręczeń Urzędu Marszałkowskiego Województwa Świętokrzyskiego (ADE): AE:PL-57494-35550-GDUUU-22</t>
    </r>
  </si>
  <si>
    <t xml:space="preserve">gminy </t>
  </si>
  <si>
    <t>34 35-41-121 wew.30</t>
  </si>
  <si>
    <t>m.kruk@radkow.pl</t>
  </si>
  <si>
    <t>Urząd Gminy w Radkowie</t>
  </si>
  <si>
    <t>Radków 99</t>
  </si>
  <si>
    <t xml:space="preserve">Maria Kruk </t>
  </si>
  <si>
    <t>"brak nazwy gminy"</t>
  </si>
  <si>
    <t>Maria Kruk</t>
  </si>
  <si>
    <t>Gmina Radków</t>
  </si>
  <si>
    <t>Wojewódzki Fundusz Ochrony Środowiska i Gospodarki Wodnej w Kielcach</t>
  </si>
  <si>
    <t>zamontowano kocioł na pellet drzewny</t>
  </si>
  <si>
    <t>zamontowano kocioł na pellet drzewny o podwyższonym standardzie</t>
  </si>
  <si>
    <t>zamontowano pompe ciepła powietrze/woda o podwyższonej klasie efektywności energetycznej</t>
  </si>
  <si>
    <t xml:space="preserve">zamontowano gruntową pompe ciepła o podwyższonej klasie efektywności energetycznej </t>
  </si>
  <si>
    <t>zamontowano pompe ciepła powietrze/woda</t>
  </si>
  <si>
    <t>https://bip.radkow.finn.pl/bipkod/34135247</t>
  </si>
  <si>
    <t xml:space="preserve"> Kampania promocyjna programu"Czyste Powietrze"  w okresie sprawozdawczym odbyły się 2 spotkania informacyjne, ulotki oraz broszury z informacjami o programi były ogólno dostępne dla potencjalnych beneficjentów programu oraz przy każdej konsultacji były dodatkowo rozdawane wraz z przedmiotami promocyjnymi  (z poprzedniego roku).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</si>
</sst>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\ &quot;zł&quot;"/>
    <numFmt numFmtId="165" formatCode="#,##0.000"/>
    <numFmt numFmtId="166" formatCode="0.0"/>
    <numFmt numFmtId="167" formatCode="0.0000"/>
    <numFmt numFmtId="168" formatCode="#,##0.00000"/>
    <numFmt numFmtId="169" formatCode="0.000"/>
    <numFmt numFmtId="170" formatCode="yyyy\-mm\-dd;@"/>
  </numFmts>
  <fonts count="52" x14ac:knownFonts="1">
    <font>
      <sz val="10"/>
      <name val="Arial"/>
      <charset val="1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name val="Arial"/>
      <family val="2"/>
      <charset val="238"/>
    </font>
    <font>
      <b/>
      <sz val="9"/>
      <color rgb="FF000000"/>
      <name val="Calibri"/>
      <family val="2"/>
      <charset val="238"/>
    </font>
    <font>
      <b/>
      <i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8"/>
      <color rgb="FF000000"/>
      <name val="Calibri"/>
      <family val="2"/>
      <charset val="238"/>
    </font>
    <font>
      <b/>
      <vertAlign val="superscript"/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9"/>
      <color rgb="FFFF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vertAlign val="superscript"/>
      <sz val="9"/>
      <color theme="1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sz val="12"/>
      <color rgb="FFC00000"/>
      <name val="Calibri"/>
      <family val="2"/>
      <charset val="238"/>
    </font>
    <font>
      <sz val="8"/>
      <name val="Arial"/>
      <family val="2"/>
      <charset val="238"/>
    </font>
    <font>
      <sz val="8"/>
      <color theme="0" tint="-0.499984740745262"/>
      <name val="Calibri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i/>
      <sz val="12"/>
      <color rgb="FF0000FF"/>
      <name val="Calibri"/>
      <family val="2"/>
      <charset val="238"/>
    </font>
    <font>
      <b/>
      <i/>
      <sz val="10"/>
      <color rgb="FFC00000"/>
      <name val="Calibri"/>
      <family val="2"/>
      <charset val="238"/>
    </font>
    <font>
      <b/>
      <sz val="16"/>
      <color rgb="FFC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vertAlign val="superscript"/>
      <sz val="11"/>
      <color rgb="FFC00000"/>
      <name val="Calibri"/>
      <family val="2"/>
      <charset val="238"/>
    </font>
    <font>
      <b/>
      <sz val="11"/>
      <name val="Calibri"/>
      <family val="2"/>
      <charset val="238"/>
    </font>
    <font>
      <sz val="8"/>
      <color rgb="FF000000"/>
      <name val="Segoe UI"/>
      <family val="2"/>
      <charset val="238"/>
    </font>
    <font>
      <sz val="9"/>
      <color rgb="FF00B0F0"/>
      <name val="Calibri"/>
      <family val="2"/>
      <charset val="238"/>
    </font>
    <font>
      <i/>
      <sz val="9"/>
      <color rgb="FF0000FF"/>
      <name val="Calibri"/>
      <family val="2"/>
      <charset val="238"/>
    </font>
    <font>
      <sz val="11"/>
      <name val="Calibri"/>
      <family val="2"/>
      <charset val="238"/>
    </font>
    <font>
      <b/>
      <u/>
      <sz val="10"/>
      <color theme="10"/>
      <name val="Arial"/>
      <family val="2"/>
      <charset val="238"/>
    </font>
    <font>
      <b/>
      <u/>
      <sz val="11"/>
      <color theme="10"/>
      <name val="Arial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9"/>
      <color rgb="FFFF9900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sz val="10"/>
      <color rgb="FFFF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3" fillId="7" borderId="7">
      <alignment horizontal="left" vertical="center" wrapText="1"/>
    </xf>
    <xf numFmtId="0" fontId="14" fillId="0" borderId="0" applyNumberFormat="0" applyFill="0" applyBorder="0" applyAlignment="0" applyProtection="0">
      <alignment vertical="top"/>
      <protection locked="0"/>
    </xf>
  </cellStyleXfs>
  <cellXfs count="26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8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2" fillId="0" borderId="0" xfId="0" applyNumberFormat="1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67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165" fontId="3" fillId="0" borderId="1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8" fillId="5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3" fontId="3" fillId="0" borderId="1" xfId="0" applyNumberFormat="1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1" fillId="10" borderId="3" xfId="0" applyFont="1" applyFill="1" applyBorder="1" applyAlignment="1">
      <alignment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14" fillId="0" borderId="0" xfId="3" applyAlignment="1" applyProtection="1">
      <alignment vertical="center"/>
    </xf>
    <xf numFmtId="0" fontId="25" fillId="5" borderId="1" xfId="0" applyFont="1" applyFill="1" applyBorder="1" applyAlignment="1">
      <alignment vertical="center"/>
    </xf>
    <xf numFmtId="0" fontId="8" fillId="11" borderId="1" xfId="0" applyFont="1" applyFill="1" applyBorder="1" applyAlignment="1">
      <alignment vertical="center"/>
    </xf>
    <xf numFmtId="0" fontId="7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 applyProtection="1">
      <alignment horizontal="left" vertical="center"/>
      <protection locked="0"/>
    </xf>
    <xf numFmtId="0" fontId="8" fillId="11" borderId="1" xfId="0" applyFont="1" applyFill="1" applyBorder="1" applyAlignment="1" applyProtection="1">
      <alignment vertical="center"/>
      <protection locked="0"/>
    </xf>
    <xf numFmtId="0" fontId="6" fillId="5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8" fillId="0" borderId="1" xfId="0" applyFont="1" applyBorder="1" applyAlignment="1" applyProtection="1">
      <alignment vertical="center"/>
    </xf>
    <xf numFmtId="0" fontId="18" fillId="0" borderId="8" xfId="0" applyFont="1" applyBorder="1" applyAlignment="1">
      <alignment horizontal="right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4" borderId="1" xfId="0" applyFont="1" applyFill="1" applyBorder="1" applyAlignment="1">
      <alignment vertical="center"/>
    </xf>
    <xf numFmtId="164" fontId="18" fillId="4" borderId="1" xfId="0" applyNumberFormat="1" applyFont="1" applyFill="1" applyBorder="1" applyAlignment="1">
      <alignment vertical="center"/>
    </xf>
    <xf numFmtId="0" fontId="26" fillId="8" borderId="1" xfId="0" applyFont="1" applyFill="1" applyBorder="1" applyAlignment="1">
      <alignment vertical="center"/>
    </xf>
    <xf numFmtId="0" fontId="27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 wrapText="1"/>
    </xf>
    <xf numFmtId="169" fontId="18" fillId="4" borderId="1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68" fontId="3" fillId="0" borderId="4" xfId="0" applyNumberFormat="1" applyFont="1" applyBorder="1" applyAlignment="1">
      <alignment vertical="center"/>
    </xf>
    <xf numFmtId="168" fontId="3" fillId="0" borderId="4" xfId="0" applyNumberFormat="1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65" fontId="3" fillId="0" borderId="2" xfId="0" applyNumberFormat="1" applyFont="1" applyBorder="1" applyAlignment="1">
      <alignment vertical="center"/>
    </xf>
    <xf numFmtId="168" fontId="3" fillId="0" borderId="14" xfId="0" applyNumberFormat="1" applyFont="1" applyBorder="1" applyAlignment="1">
      <alignment vertical="center"/>
    </xf>
    <xf numFmtId="165" fontId="8" fillId="0" borderId="1" xfId="0" applyNumberFormat="1" applyFont="1" applyBorder="1" applyAlignment="1" applyProtection="1">
      <alignment vertical="center" wrapText="1"/>
      <protection locked="0"/>
    </xf>
    <xf numFmtId="0" fontId="8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 applyProtection="1">
      <alignment horizontal="left" vertical="center"/>
      <protection locked="0"/>
    </xf>
    <xf numFmtId="1" fontId="4" fillId="9" borderId="1" xfId="0" applyNumberFormat="1" applyFont="1" applyFill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32" fillId="4" borderId="1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vertical="center"/>
    </xf>
    <xf numFmtId="165" fontId="18" fillId="4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0" fontId="6" fillId="11" borderId="11" xfId="0" applyFont="1" applyFill="1" applyBorder="1" applyAlignment="1">
      <alignment vertical="center" wrapText="1" readingOrder="1"/>
    </xf>
    <xf numFmtId="0" fontId="2" fillId="0" borderId="12" xfId="0" applyFont="1" applyBorder="1" applyAlignment="1">
      <alignment vertical="center"/>
    </xf>
    <xf numFmtId="0" fontId="18" fillId="0" borderId="9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34" fillId="0" borderId="0" xfId="3" applyFont="1" applyAlignment="1" applyProtection="1">
      <alignment vertical="center"/>
    </xf>
    <xf numFmtId="0" fontId="35" fillId="0" borderId="0" xfId="3" applyFont="1" applyAlignment="1" applyProtection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" fontId="8" fillId="5" borderId="1" xfId="0" applyNumberFormat="1" applyFont="1" applyFill="1" applyBorder="1" applyAlignment="1" applyProtection="1">
      <alignment vertical="center" wrapText="1"/>
      <protection locked="0"/>
    </xf>
    <xf numFmtId="164" fontId="2" fillId="5" borderId="1" xfId="0" applyNumberFormat="1" applyFont="1" applyFill="1" applyBorder="1" applyAlignment="1" applyProtection="1">
      <alignment vertical="center"/>
      <protection locked="0"/>
    </xf>
    <xf numFmtId="164" fontId="2" fillId="5" borderId="1" xfId="0" applyNumberFormat="1" applyFont="1" applyFill="1" applyBorder="1" applyAlignment="1" applyProtection="1">
      <alignment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170" fontId="2" fillId="5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7" fillId="0" borderId="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1" fillId="4" borderId="1" xfId="0" applyFont="1" applyFill="1" applyBorder="1" applyAlignment="1">
      <alignment vertical="center" wrapText="1"/>
    </xf>
    <xf numFmtId="0" fontId="41" fillId="4" borderId="1" xfId="0" applyFont="1" applyFill="1" applyBorder="1" applyAlignment="1">
      <alignment horizontal="left" vertical="center" wrapText="1"/>
    </xf>
    <xf numFmtId="164" fontId="42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14" fillId="0" borderId="0" xfId="3" applyAlignment="1" applyProtection="1">
      <alignment horizontal="justify" vertical="center"/>
    </xf>
    <xf numFmtId="0" fontId="44" fillId="0" borderId="0" xfId="0" applyFont="1" applyAlignment="1">
      <alignment vertical="center"/>
    </xf>
    <xf numFmtId="0" fontId="45" fillId="15" borderId="18" xfId="0" applyFont="1" applyFill="1" applyBorder="1" applyAlignment="1">
      <alignment horizontal="center" vertical="center" wrapText="1"/>
    </xf>
    <xf numFmtId="0" fontId="45" fillId="15" borderId="19" xfId="0" applyFont="1" applyFill="1" applyBorder="1" applyAlignment="1">
      <alignment vertical="center" wrapText="1"/>
    </xf>
    <xf numFmtId="0" fontId="45" fillId="15" borderId="20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/>
    <xf numFmtId="0" fontId="45" fillId="15" borderId="21" xfId="0" applyFont="1" applyFill="1" applyBorder="1" applyAlignment="1">
      <alignment vertical="center" wrapText="1"/>
    </xf>
    <xf numFmtId="0" fontId="47" fillId="14" borderId="34" xfId="0" applyFont="1" applyFill="1" applyBorder="1" applyAlignment="1">
      <alignment horizontal="center" vertical="center" wrapText="1"/>
    </xf>
    <xf numFmtId="0" fontId="47" fillId="14" borderId="35" xfId="0" applyFont="1" applyFill="1" applyBorder="1" applyAlignment="1">
      <alignment horizontal="center" vertical="center" wrapText="1"/>
    </xf>
    <xf numFmtId="0" fontId="47" fillId="14" borderId="9" xfId="0" applyFont="1" applyFill="1" applyBorder="1" applyAlignment="1">
      <alignment horizontal="center" vertical="center" wrapText="1"/>
    </xf>
    <xf numFmtId="0" fontId="47" fillId="14" borderId="28" xfId="0" applyFont="1" applyFill="1" applyBorder="1" applyAlignment="1">
      <alignment horizontal="center" vertical="center" wrapText="1"/>
    </xf>
    <xf numFmtId="0" fontId="45" fillId="0" borderId="27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vertical="center" wrapText="1"/>
    </xf>
    <xf numFmtId="0" fontId="44" fillId="0" borderId="36" xfId="0" applyFont="1" applyFill="1" applyBorder="1" applyAlignment="1">
      <alignment vertical="center" wrapText="1"/>
    </xf>
    <xf numFmtId="0" fontId="45" fillId="15" borderId="28" xfId="0" applyFont="1" applyFill="1" applyBorder="1" applyAlignment="1">
      <alignment vertical="center" wrapText="1"/>
    </xf>
    <xf numFmtId="0" fontId="45" fillId="15" borderId="28" xfId="0" applyFont="1" applyFill="1" applyBorder="1" applyAlignment="1">
      <alignment horizontal="center" vertical="center" wrapText="1"/>
    </xf>
    <xf numFmtId="0" fontId="48" fillId="15" borderId="18" xfId="0" applyFont="1" applyFill="1" applyBorder="1" applyAlignment="1">
      <alignment horizontal="center" vertical="center" wrapText="1"/>
    </xf>
    <xf numFmtId="0" fontId="48" fillId="15" borderId="19" xfId="0" applyFont="1" applyFill="1" applyBorder="1" applyAlignment="1">
      <alignment vertical="center" wrapText="1"/>
    </xf>
    <xf numFmtId="0" fontId="45" fillId="14" borderId="23" xfId="0" applyFont="1" applyFill="1" applyBorder="1" applyAlignment="1">
      <alignment horizontal="center" vertical="center" wrapText="1"/>
    </xf>
    <xf numFmtId="0" fontId="45" fillId="14" borderId="28" xfId="0" applyFont="1" applyFill="1" applyBorder="1" applyAlignment="1">
      <alignment horizontal="center" vertical="center" wrapText="1"/>
    </xf>
    <xf numFmtId="0" fontId="51" fillId="9" borderId="0" xfId="0" applyFont="1" applyFill="1"/>
    <xf numFmtId="0" fontId="0" fillId="9" borderId="0" xfId="0" applyFill="1" applyAlignment="1">
      <alignment horizontal="center"/>
    </xf>
    <xf numFmtId="0" fontId="46" fillId="9" borderId="28" xfId="0" applyFont="1" applyFill="1" applyBorder="1" applyAlignment="1">
      <alignment vertical="center" wrapText="1"/>
    </xf>
    <xf numFmtId="0" fontId="46" fillId="9" borderId="25" xfId="0" applyFont="1" applyFill="1" applyBorder="1" applyAlignment="1">
      <alignment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horizontal="center" vertical="center" wrapText="1"/>
    </xf>
    <xf numFmtId="0" fontId="44" fillId="0" borderId="25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vertical="center" wrapText="1"/>
    </xf>
    <xf numFmtId="0" fontId="44" fillId="0" borderId="19" xfId="0" applyFont="1" applyFill="1" applyBorder="1" applyAlignment="1">
      <alignment vertical="center" wrapText="1"/>
    </xf>
    <xf numFmtId="0" fontId="44" fillId="0" borderId="25" xfId="0" applyFont="1" applyFill="1" applyBorder="1" applyAlignment="1">
      <alignment vertical="center" wrapText="1"/>
    </xf>
    <xf numFmtId="0" fontId="44" fillId="0" borderId="37" xfId="0" applyFont="1" applyFill="1" applyBorder="1" applyAlignment="1">
      <alignment horizontal="left" vertical="center" wrapText="1"/>
    </xf>
    <xf numFmtId="0" fontId="44" fillId="0" borderId="3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39" xfId="0" applyFont="1" applyFill="1" applyBorder="1" applyAlignment="1">
      <alignment vertical="center" wrapText="1"/>
    </xf>
    <xf numFmtId="10" fontId="49" fillId="0" borderId="38" xfId="0" applyNumberFormat="1" applyFont="1" applyFill="1" applyBorder="1" applyAlignment="1">
      <alignment vertical="center" wrapText="1"/>
    </xf>
    <xf numFmtId="10" fontId="49" fillId="0" borderId="19" xfId="0" applyNumberFormat="1" applyFont="1" applyFill="1" applyBorder="1" applyAlignment="1">
      <alignment vertical="center" wrapText="1"/>
    </xf>
    <xf numFmtId="10" fontId="49" fillId="0" borderId="25" xfId="0" applyNumberFormat="1" applyFont="1" applyFill="1" applyBorder="1" applyAlignment="1">
      <alignment vertical="center" wrapText="1"/>
    </xf>
    <xf numFmtId="0" fontId="44" fillId="0" borderId="24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44" fillId="0" borderId="9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46" fillId="0" borderId="6" xfId="0" applyFont="1" applyFill="1" applyBorder="1" applyAlignment="1">
      <alignment vertical="center" wrapText="1"/>
    </xf>
    <xf numFmtId="0" fontId="44" fillId="0" borderId="6" xfId="0" applyFont="1" applyFill="1" applyBorder="1" applyAlignment="1">
      <alignment vertical="center" wrapText="1"/>
    </xf>
    <xf numFmtId="3" fontId="46" fillId="0" borderId="31" xfId="0" applyNumberFormat="1" applyFont="1" applyFill="1" applyBorder="1" applyAlignment="1">
      <alignment vertical="center" wrapText="1"/>
    </xf>
    <xf numFmtId="3" fontId="46" fillId="0" borderId="32" xfId="0" applyNumberFormat="1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 wrapText="1"/>
    </xf>
    <xf numFmtId="0" fontId="46" fillId="0" borderId="31" xfId="0" applyFont="1" applyFill="1" applyBorder="1" applyAlignment="1">
      <alignment vertical="center" wrapText="1"/>
    </xf>
    <xf numFmtId="0" fontId="44" fillId="0" borderId="31" xfId="0" applyFont="1" applyFill="1" applyBorder="1" applyAlignment="1">
      <alignment vertical="center" wrapText="1"/>
    </xf>
    <xf numFmtId="0" fontId="46" fillId="0" borderId="32" xfId="0" applyFont="1" applyFill="1" applyBorder="1" applyAlignment="1">
      <alignment vertical="center" wrapText="1"/>
    </xf>
    <xf numFmtId="0" fontId="46" fillId="16" borderId="38" xfId="0" applyFont="1" applyFill="1" applyBorder="1" applyAlignment="1">
      <alignment vertical="center" wrapText="1"/>
    </xf>
    <xf numFmtId="0" fontId="46" fillId="16" borderId="28" xfId="0" applyFont="1" applyFill="1" applyBorder="1" applyAlignment="1">
      <alignment vertical="center" wrapText="1"/>
    </xf>
    <xf numFmtId="0" fontId="14" fillId="5" borderId="1" xfId="3" applyFill="1" applyBorder="1" applyAlignment="1" applyProtection="1">
      <alignment vertical="center" wrapText="1"/>
      <protection locked="0"/>
    </xf>
    <xf numFmtId="0" fontId="4" fillId="9" borderId="4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3" fillId="13" borderId="0" xfId="0" applyFont="1" applyFill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 wrapText="1" readingOrder="1"/>
    </xf>
    <xf numFmtId="0" fontId="18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 readingOrder="1"/>
    </xf>
    <xf numFmtId="0" fontId="6" fillId="12" borderId="4" xfId="0" applyFont="1" applyFill="1" applyBorder="1" applyAlignment="1">
      <alignment horizontal="center" vertical="center" wrapText="1" readingOrder="1"/>
    </xf>
    <xf numFmtId="0" fontId="6" fillId="12" borderId="6" xfId="0" applyFont="1" applyFill="1" applyBorder="1" applyAlignment="1">
      <alignment horizontal="center" vertical="center" wrapText="1" readingOrder="1"/>
    </xf>
    <xf numFmtId="0" fontId="6" fillId="12" borderId="5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/>
    </xf>
    <xf numFmtId="0" fontId="45" fillId="15" borderId="30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45" fillId="15" borderId="43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46" fillId="0" borderId="40" xfId="0" applyFont="1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0" fontId="0" fillId="0" borderId="42" xfId="0" applyFill="1" applyBorder="1" applyAlignment="1">
      <alignment vertical="center" wrapText="1"/>
    </xf>
    <xf numFmtId="0" fontId="46" fillId="0" borderId="30" xfId="0" applyFont="1" applyFill="1" applyBorder="1" applyAlignment="1">
      <alignment vertical="center" wrapText="1"/>
    </xf>
    <xf numFmtId="0" fontId="0" fillId="0" borderId="41" xfId="0" applyFill="1" applyBorder="1" applyAlignment="1">
      <alignment vertical="center" wrapText="1"/>
    </xf>
    <xf numFmtId="0" fontId="0" fillId="0" borderId="38" xfId="0" applyFill="1" applyBorder="1" applyAlignment="1">
      <alignment vertical="center" wrapText="1"/>
    </xf>
    <xf numFmtId="0" fontId="44" fillId="9" borderId="16" xfId="0" applyFont="1" applyFill="1" applyBorder="1" applyAlignment="1">
      <alignment vertical="center" wrapText="1"/>
    </xf>
    <xf numFmtId="0" fontId="44" fillId="9" borderId="17" xfId="0" applyFont="1" applyFill="1" applyBorder="1" applyAlignment="1">
      <alignment vertical="center" wrapText="1"/>
    </xf>
    <xf numFmtId="0" fontId="45" fillId="14" borderId="8" xfId="0" applyFont="1" applyFill="1" applyBorder="1" applyAlignment="1">
      <alignment horizontal="justify" vertical="center" wrapText="1"/>
    </xf>
    <xf numFmtId="0" fontId="45" fillId="14" borderId="12" xfId="0" applyFont="1" applyFill="1" applyBorder="1" applyAlignment="1">
      <alignment horizontal="justify" vertical="center" wrapText="1"/>
    </xf>
    <xf numFmtId="0" fontId="0" fillId="0" borderId="9" xfId="0" applyBorder="1" applyAlignment="1"/>
    <xf numFmtId="0" fontId="45" fillId="15" borderId="20" xfId="0" applyFont="1" applyFill="1" applyBorder="1" applyAlignment="1">
      <alignment horizontal="center" vertical="center" wrapText="1"/>
    </xf>
    <xf numFmtId="0" fontId="45" fillId="15" borderId="2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5" fillId="15" borderId="29" xfId="0" applyFont="1" applyFill="1" applyBorder="1" applyAlignment="1">
      <alignment vertical="center" wrapText="1"/>
    </xf>
    <xf numFmtId="0" fontId="45" fillId="15" borderId="33" xfId="0" applyFont="1" applyFill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0" fillId="0" borderId="44" xfId="0" applyFill="1" applyBorder="1" applyAlignment="1">
      <alignment vertical="center" wrapText="1"/>
    </xf>
    <xf numFmtId="3" fontId="44" fillId="0" borderId="45" xfId="0" applyNumberFormat="1" applyFont="1" applyFill="1" applyBorder="1" applyAlignment="1">
      <alignment vertical="center" wrapText="1"/>
    </xf>
    <xf numFmtId="0" fontId="5" fillId="0" borderId="41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wrapText="1"/>
    </xf>
    <xf numFmtId="0" fontId="14" fillId="9" borderId="16" xfId="3" applyFill="1" applyBorder="1" applyAlignment="1" applyProtection="1">
      <alignment horizontal="center" vertical="center" wrapText="1"/>
    </xf>
    <xf numFmtId="0" fontId="44" fillId="9" borderId="17" xfId="0" applyFont="1" applyFill="1" applyBorder="1" applyAlignment="1">
      <alignment horizontal="center" vertical="center" wrapText="1"/>
    </xf>
    <xf numFmtId="0" fontId="45" fillId="14" borderId="16" xfId="0" applyFont="1" applyFill="1" applyBorder="1" applyAlignment="1">
      <alignment horizontal="justify" vertical="center" wrapText="1"/>
    </xf>
    <xf numFmtId="0" fontId="45" fillId="14" borderId="36" xfId="0" applyFont="1" applyFill="1" applyBorder="1" applyAlignment="1">
      <alignment horizontal="justify" vertical="center" wrapText="1"/>
    </xf>
    <xf numFmtId="0" fontId="45" fillId="14" borderId="22" xfId="0" applyFont="1" applyFill="1" applyBorder="1" applyAlignment="1">
      <alignment horizontal="justify" vertical="center" wrapText="1"/>
    </xf>
    <xf numFmtId="0" fontId="48" fillId="6" borderId="12" xfId="0" applyFont="1" applyFill="1" applyBorder="1" applyAlignment="1">
      <alignment horizontal="center"/>
    </xf>
    <xf numFmtId="0" fontId="48" fillId="6" borderId="9" xfId="0" applyFont="1" applyFill="1" applyBorder="1" applyAlignment="1">
      <alignment horizontal="center"/>
    </xf>
    <xf numFmtId="0" fontId="44" fillId="0" borderId="23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4" fillId="9" borderId="16" xfId="0" applyFont="1" applyFill="1" applyBorder="1" applyAlignment="1">
      <alignment horizontal="center" vertical="center" wrapText="1"/>
    </xf>
    <xf numFmtId="0" fontId="44" fillId="9" borderId="23" xfId="0" applyFont="1" applyFill="1" applyBorder="1" applyAlignment="1">
      <alignment horizontal="center" vertical="center" wrapText="1"/>
    </xf>
    <xf numFmtId="0" fontId="44" fillId="9" borderId="19" xfId="0" applyFont="1" applyFill="1" applyBorder="1" applyAlignment="1">
      <alignment horizontal="center" vertical="center" wrapText="1"/>
    </xf>
  </cellXfs>
  <cellStyles count="4">
    <cellStyle name="Hiperłącze" xfId="3" builtinId="8"/>
    <cellStyle name="Kolumna" xfId="2"/>
    <cellStyle name="Normalny" xfId="0" builtinId="0"/>
    <cellStyle name="Normalny 2" xfId="1"/>
  </cellStyles>
  <dxfs count="67">
    <dxf>
      <fill>
        <patternFill>
          <bgColor theme="1" tint="0.49998474074526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8" formatCode="#,##0.00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#,##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#,##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30" formatCode="@"/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D6E1EE"/>
      <color rgb="FFFFFFCC"/>
      <color rgb="FFFFFF99"/>
      <color rgb="FFFF9900"/>
      <color rgb="FF006600"/>
      <color rgb="FF0000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1190625</xdr:colOff>
          <xdr:row>4</xdr:row>
          <xdr:rowOff>276225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180975</xdr:rowOff>
        </xdr:from>
        <xdr:to>
          <xdr:col>1</xdr:col>
          <xdr:colOff>990600</xdr:colOff>
          <xdr:row>4</xdr:row>
          <xdr:rowOff>581025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PD/PDC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514350</xdr:rowOff>
        </xdr:from>
        <xdr:to>
          <xdr:col>1</xdr:col>
          <xdr:colOff>1038225</xdr:colOff>
          <xdr:row>4</xdr:row>
          <xdr:rowOff>742950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obydwa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752475</xdr:rowOff>
        </xdr:from>
        <xdr:to>
          <xdr:col>1</xdr:col>
          <xdr:colOff>1038225</xdr:colOff>
          <xdr:row>4</xdr:row>
          <xdr:rowOff>962025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0</xdr:rowOff>
        </xdr:from>
        <xdr:to>
          <xdr:col>1</xdr:col>
          <xdr:colOff>1009650</xdr:colOff>
          <xdr:row>8</xdr:row>
          <xdr:rowOff>209550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209550</xdr:rowOff>
        </xdr:from>
        <xdr:to>
          <xdr:col>1</xdr:col>
          <xdr:colOff>1123950</xdr:colOff>
          <xdr:row>8</xdr:row>
          <xdr:rowOff>457200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47625</xdr:rowOff>
        </xdr:from>
        <xdr:to>
          <xdr:col>1</xdr:col>
          <xdr:colOff>1009650</xdr:colOff>
          <xdr:row>12</xdr:row>
          <xdr:rowOff>314325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285750</xdr:rowOff>
        </xdr:from>
        <xdr:to>
          <xdr:col>1</xdr:col>
          <xdr:colOff>1009650</xdr:colOff>
          <xdr:row>12</xdr:row>
          <xdr:rowOff>542925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466725</xdr:rowOff>
        </xdr:from>
        <xdr:to>
          <xdr:col>1</xdr:col>
          <xdr:colOff>1009650</xdr:colOff>
          <xdr:row>12</xdr:row>
          <xdr:rowOff>752475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666750</xdr:rowOff>
        </xdr:from>
        <xdr:to>
          <xdr:col>1</xdr:col>
          <xdr:colOff>1009650</xdr:colOff>
          <xdr:row>12</xdr:row>
          <xdr:rowOff>962025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Telewizja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895350</xdr:rowOff>
        </xdr:from>
        <xdr:to>
          <xdr:col>1</xdr:col>
          <xdr:colOff>1009650</xdr:colOff>
          <xdr:row>12</xdr:row>
          <xdr:rowOff>1181100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1104900</xdr:rowOff>
        </xdr:from>
        <xdr:to>
          <xdr:col>1</xdr:col>
          <xdr:colOff>1009650</xdr:colOff>
          <xdr:row>12</xdr:row>
          <xdr:rowOff>1381125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ochno/Ustawienia%20lokalne/Temporary%20Internet%20Files/Content.Outlook/1MNEXO3H/POP%20Sl&#261;sk2014/Formularze%20do%20inwentaryzacji%20emisji%20ze%20&#378;r&#243;de&#322;%20naturalnych%20i%20rolnict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y"/>
      <sheetName val="Arkusz1"/>
    </sheetNames>
    <sheetDataSet>
      <sheetData sheetId="0">
        <row r="1">
          <cell r="A1" t="str">
            <v>liściasty</v>
          </cell>
        </row>
        <row r="2">
          <cell r="A2" t="str">
            <v>iglasty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id="1" name="powiaty_26" displayName="powiaty_26" ref="A2:F16" totalsRowShown="0" headerRowDxfId="66" headerRowBorderDxfId="65" tableBorderDxfId="64">
  <autoFilter ref="A2:F16"/>
  <tableColumns count="6">
    <tableColumn id="1" name="kod powiatu" dataDxfId="63" dataCellStyle="Normalny 2"/>
    <tableColumn id="2" name="powiat" dataDxfId="62" dataCellStyle="Normalny 2"/>
    <tableColumn id="6" name="kod powiatu2" dataDxfId="61" dataCellStyle="Normalny 2">
      <calculatedColumnFormula>powiaty_26[[#This Row],[kod powiatu]]</calculatedColumnFormula>
    </tableColumn>
    <tableColumn id="4" name="kod strefy" dataDxfId="60" dataCellStyle="Normalny 2"/>
    <tableColumn id="5" name="nazwa strefy" dataDxfId="59" dataCellStyle="Normalny 2">
      <calculatedColumnFormula>VLOOKUP(powiaty_26[[#This Row],[kod strefy]],strefy_26[],2,FALSE)</calculatedColumnFormula>
    </tableColumn>
    <tableColumn id="3" name="województwo" dataDxfId="58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2" name="strefy_26" displayName="strefy_26" ref="H2:K4" totalsRowShown="0" headerRowDxfId="57" dataDxfId="55" headerRowBorderDxfId="56" tableBorderDxfId="54">
  <autoFilter ref="H2:K4"/>
  <tableColumns count="4">
    <tableColumn id="1" name="kod strefy" dataDxfId="53"/>
    <tableColumn id="2" name="nazwa strefy" dataDxfId="52"/>
    <tableColumn id="3" name="województo" dataDxfId="51"/>
    <tableColumn id="4" name="do tabel sprawozdawczych" dataDxfId="50">
      <calculatedColumnFormula>CONCATENATE(I3," ",H3)</calculatedColumnFormula>
    </tableColumn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4" name="kat_zadania" displayName="kat_zadania" ref="M2:N10" totalsRowShown="0" headerRowDxfId="49" dataDxfId="47" headerRowBorderDxfId="48" tableBorderDxfId="46">
  <autoFilter ref="M2:N10"/>
  <tableColumns count="2">
    <tableColumn id="1" name="kod zadania" dataDxfId="45"/>
    <tableColumn id="2" name="nazwa zadania" dataDxfId="44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id="3" name="gminy_26" displayName="gminy_26" ref="A3:Q105" totalsRowShown="0" headerRowDxfId="39" dataDxfId="37" headerRowBorderDxfId="38" tableBorderDxfId="36">
  <autoFilter ref="A3:Q105"/>
  <tableColumns count="17">
    <tableColumn id="1" name="kod gminy" dataDxfId="35"/>
    <tableColumn id="2" name="nazwa gminy" dataDxfId="34"/>
    <tableColumn id="15" name="kod gminy2" dataDxfId="33">
      <calculatedColumnFormula>gminy_26[[#This Row],[kod gminy]]</calculatedColumnFormula>
    </tableColumn>
    <tableColumn id="3" name="kod powiatu" dataDxfId="32"/>
    <tableColumn id="4" name="nazwa powiatu" dataDxfId="31">
      <calculatedColumnFormula>VLOOKUP(gminy_26[[#This Row],[kod powiatu]],powiaty_26[],katalogi!$B$1,FALSE)</calculatedColumnFormula>
    </tableColumn>
    <tableColumn id="5" name="kod strefy" dataDxfId="30"/>
    <tableColumn id="6" name="nazwa strefy" dataDxfId="29">
      <calculatedColumnFormula>VLOOKUP(gminy_26[[#This Row],[kod strefy]],strefy_26[],2,FALSE)</calculatedColumnFormula>
    </tableColumn>
    <tableColumn id="7" name="ogółem" dataDxfId="28"/>
    <tableColumn id="8" name="2020" dataDxfId="27"/>
    <tableColumn id="9" name="2021" dataDxfId="26"/>
    <tableColumn id="10" name="2022" dataDxfId="25"/>
    <tableColumn id="11" name="2023" dataDxfId="24"/>
    <tableColumn id="12" name="2024" dataDxfId="23"/>
    <tableColumn id="13" name="2025" dataDxfId="22"/>
    <tableColumn id="16" name="2026" dataDxfId="21"/>
    <tableColumn id="17" name="EE" dataDxfId="20"/>
    <tableColumn id="14" name="KPP" dataDxfId="19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id="5" name="kat_wsk_efektu" displayName="kat_wsk_efektu" ref="A4:E16" totalsRowShown="0" headerRowDxfId="18" headerRowBorderDxfId="17" tableBorderDxfId="16" totalsRowBorderDxfId="15">
  <autoFilter ref="A4:E16"/>
  <tableColumns count="5">
    <tableColumn id="1" name="kod_efektu" dataDxfId="14"/>
    <tableColumn id="2" name="opis" dataDxfId="13"/>
    <tableColumn id="3" name="PM10" dataDxfId="12"/>
    <tableColumn id="4" name="PM2,5" dataDxfId="11"/>
    <tableColumn id="5" name="BaP" dataDxfId="1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bip.radkow.finn.pl/bipkod/34135247" TargetMode="External"/><Relationship Id="rId1" Type="http://schemas.openxmlformats.org/officeDocument/2006/relationships/hyperlink" Target="mailto:m.kruk@radkow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m.kruk@radkow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499984740745262"/>
  </sheetPr>
  <dimension ref="A1:O16"/>
  <sheetViews>
    <sheetView workbookViewId="0">
      <pane ySplit="11" topLeftCell="A12" activePane="bottomLeft" state="frozen"/>
      <selection pane="bottomLeft" activeCell="B32" sqref="B32"/>
    </sheetView>
  </sheetViews>
  <sheetFormatPr defaultColWidth="9.140625" defaultRowHeight="12" x14ac:dyDescent="0.2"/>
  <cols>
    <col min="1" max="1" width="11.5703125" style="1" customWidth="1"/>
    <col min="2" max="2" width="14.7109375" style="1" customWidth="1"/>
    <col min="3" max="3" width="14.5703125" style="1" bestFit="1" customWidth="1"/>
    <col min="4" max="4" width="10.140625" style="1" customWidth="1"/>
    <col min="5" max="5" width="14.7109375" style="1" bestFit="1" customWidth="1"/>
    <col min="6" max="6" width="15.42578125" style="1" bestFit="1" customWidth="1"/>
    <col min="7" max="7" width="3.7109375" style="1" customWidth="1"/>
    <col min="8" max="8" width="9.7109375" style="1" customWidth="1"/>
    <col min="9" max="9" width="27.28515625" style="1" bestFit="1" customWidth="1"/>
    <col min="10" max="10" width="13.7109375" style="1" bestFit="1" customWidth="1"/>
    <col min="11" max="11" width="32.85546875" style="1" bestFit="1" customWidth="1"/>
    <col min="12" max="12" width="3.7109375" style="1" customWidth="1"/>
    <col min="13" max="13" width="11" style="1" customWidth="1"/>
    <col min="14" max="14" width="111.85546875" style="1" bestFit="1" customWidth="1"/>
    <col min="15" max="16384" width="9.140625" style="1"/>
  </cols>
  <sheetData>
    <row r="1" spans="1:15" x14ac:dyDescent="0.2">
      <c r="A1" s="36">
        <v>1</v>
      </c>
      <c r="B1" s="36">
        <f>A1+1</f>
        <v>2</v>
      </c>
      <c r="C1" s="36">
        <f t="shared" ref="C1:D1" si="0">B1+1</f>
        <v>3</v>
      </c>
      <c r="D1" s="36">
        <f t="shared" si="0"/>
        <v>4</v>
      </c>
      <c r="E1" s="36">
        <f t="shared" ref="E1:F1" si="1">D1+1</f>
        <v>5</v>
      </c>
      <c r="F1" s="36">
        <f t="shared" si="1"/>
        <v>6</v>
      </c>
      <c r="G1" s="36">
        <f t="shared" ref="G1:K1" si="2">F1+1</f>
        <v>7</v>
      </c>
      <c r="H1" s="36">
        <f t="shared" si="2"/>
        <v>8</v>
      </c>
      <c r="I1" s="36">
        <f t="shared" si="2"/>
        <v>9</v>
      </c>
      <c r="J1" s="36">
        <f t="shared" si="2"/>
        <v>10</v>
      </c>
      <c r="K1" s="36">
        <f t="shared" si="2"/>
        <v>11</v>
      </c>
      <c r="L1" s="36">
        <f t="shared" ref="L1" si="3">K1+1</f>
        <v>12</v>
      </c>
      <c r="M1" s="36">
        <f t="shared" ref="M1" si="4">L1+1</f>
        <v>13</v>
      </c>
      <c r="N1" s="36">
        <f t="shared" ref="N1" si="5">M1+1</f>
        <v>14</v>
      </c>
      <c r="O1" s="36">
        <f t="shared" ref="O1" si="6">N1+1</f>
        <v>15</v>
      </c>
    </row>
    <row r="2" spans="1:15" x14ac:dyDescent="0.2">
      <c r="A2" s="37" t="s">
        <v>300</v>
      </c>
      <c r="B2" s="37" t="s">
        <v>0</v>
      </c>
      <c r="C2" s="37" t="s">
        <v>315</v>
      </c>
      <c r="D2" s="37" t="s">
        <v>2</v>
      </c>
      <c r="E2" s="37" t="s">
        <v>3</v>
      </c>
      <c r="F2" s="37" t="s">
        <v>1</v>
      </c>
      <c r="H2" s="37" t="s">
        <v>2</v>
      </c>
      <c r="I2" s="37" t="s">
        <v>3</v>
      </c>
      <c r="J2" s="37" t="s">
        <v>4</v>
      </c>
      <c r="K2" s="37" t="s">
        <v>11</v>
      </c>
      <c r="M2" s="39" t="s">
        <v>17</v>
      </c>
      <c r="N2" s="39" t="s">
        <v>320</v>
      </c>
    </row>
    <row r="3" spans="1:15" x14ac:dyDescent="0.2">
      <c r="A3" s="6" t="s">
        <v>62</v>
      </c>
      <c r="B3" s="5" t="s">
        <v>76</v>
      </c>
      <c r="C3" s="5" t="str">
        <f>powiaty_26[[#This Row],[kod powiatu]]</f>
        <v>2601</v>
      </c>
      <c r="D3" s="5" t="s">
        <v>60</v>
      </c>
      <c r="E3" s="5" t="str">
        <f>VLOOKUP(powiaty_26[[#This Row],[kod strefy]],strefy_26[],2,FALSE)</f>
        <v>strefa świętokrzyska</v>
      </c>
      <c r="F3" s="1" t="s">
        <v>56</v>
      </c>
      <c r="H3" s="4" t="s">
        <v>58</v>
      </c>
      <c r="I3" s="4" t="s">
        <v>59</v>
      </c>
      <c r="J3" s="2" t="s">
        <v>56</v>
      </c>
      <c r="K3" s="1" t="str">
        <f>CONCATENATE(I3," ",H3)</f>
        <v>miasto Kielce PL2601</v>
      </c>
      <c r="M3" s="1" t="s">
        <v>89</v>
      </c>
      <c r="N3" s="1" t="s">
        <v>24</v>
      </c>
    </row>
    <row r="4" spans="1:15" x14ac:dyDescent="0.2">
      <c r="A4" s="6" t="s">
        <v>63</v>
      </c>
      <c r="B4" s="5" t="s">
        <v>77</v>
      </c>
      <c r="C4" s="5" t="str">
        <f>powiaty_26[[#This Row],[kod powiatu]]</f>
        <v>2602</v>
      </c>
      <c r="D4" s="5" t="s">
        <v>60</v>
      </c>
      <c r="E4" s="5" t="str">
        <f>VLOOKUP(powiaty_26[[#This Row],[kod strefy]],strefy_26[],2,FALSE)</f>
        <v>strefa świętokrzyska</v>
      </c>
      <c r="F4" s="1" t="s">
        <v>56</v>
      </c>
      <c r="H4" s="4" t="s">
        <v>60</v>
      </c>
      <c r="I4" s="4" t="s">
        <v>61</v>
      </c>
      <c r="J4" s="2" t="s">
        <v>56</v>
      </c>
      <c r="K4" s="1" t="str">
        <f t="shared" ref="K4" si="7">CONCATENATE(I4," ",H4)</f>
        <v>strefa świętokrzyska PL2602</v>
      </c>
      <c r="M4" s="1" t="s">
        <v>91</v>
      </c>
      <c r="N4" s="1" t="s">
        <v>453</v>
      </c>
    </row>
    <row r="5" spans="1:15" x14ac:dyDescent="0.2">
      <c r="A5" s="6" t="s">
        <v>64</v>
      </c>
      <c r="B5" s="5" t="s">
        <v>78</v>
      </c>
      <c r="C5" s="5" t="str">
        <f>powiaty_26[[#This Row],[kod powiatu]]</f>
        <v>2603</v>
      </c>
      <c r="D5" s="5" t="s">
        <v>60</v>
      </c>
      <c r="E5" s="5" t="str">
        <f>VLOOKUP(powiaty_26[[#This Row],[kod strefy]],strefy_26[],2,FALSE)</f>
        <v>strefa świętokrzyska</v>
      </c>
      <c r="F5" s="1" t="s">
        <v>56</v>
      </c>
      <c r="H5" s="2"/>
      <c r="I5" s="2"/>
      <c r="J5" s="2"/>
      <c r="M5" s="1" t="s">
        <v>93</v>
      </c>
      <c r="N5" s="1" t="s">
        <v>97</v>
      </c>
    </row>
    <row r="6" spans="1:15" x14ac:dyDescent="0.2">
      <c r="A6" s="6" t="s">
        <v>65</v>
      </c>
      <c r="B6" s="5" t="s">
        <v>79</v>
      </c>
      <c r="C6" s="5" t="str">
        <f>powiaty_26[[#This Row],[kod powiatu]]</f>
        <v>2604</v>
      </c>
      <c r="D6" s="5" t="s">
        <v>60</v>
      </c>
      <c r="E6" s="5" t="str">
        <f>VLOOKUP(powiaty_26[[#This Row],[kod strefy]],strefy_26[],2,FALSE)</f>
        <v>strefa świętokrzyska</v>
      </c>
      <c r="F6" s="1" t="s">
        <v>56</v>
      </c>
      <c r="H6" s="2"/>
      <c r="I6" s="2"/>
      <c r="J6" s="2"/>
      <c r="M6" s="1" t="s">
        <v>95</v>
      </c>
      <c r="N6" s="1" t="s">
        <v>98</v>
      </c>
    </row>
    <row r="7" spans="1:15" x14ac:dyDescent="0.2">
      <c r="A7" s="6" t="s">
        <v>66</v>
      </c>
      <c r="B7" s="5" t="s">
        <v>80</v>
      </c>
      <c r="C7" s="5" t="str">
        <f>powiaty_26[[#This Row],[kod powiatu]]</f>
        <v>2605</v>
      </c>
      <c r="D7" s="5" t="s">
        <v>60</v>
      </c>
      <c r="E7" s="5" t="str">
        <f>VLOOKUP(powiaty_26[[#This Row],[kod strefy]],strefy_26[],2,FALSE)</f>
        <v>strefa świętokrzyska</v>
      </c>
      <c r="F7" s="1" t="s">
        <v>56</v>
      </c>
      <c r="H7" s="2"/>
      <c r="I7" s="2"/>
      <c r="J7" s="2"/>
      <c r="M7" s="1" t="s">
        <v>90</v>
      </c>
      <c r="N7" s="1" t="s">
        <v>24</v>
      </c>
    </row>
    <row r="8" spans="1:15" x14ac:dyDescent="0.2">
      <c r="A8" s="6" t="s">
        <v>67</v>
      </c>
      <c r="B8" s="5" t="s">
        <v>81</v>
      </c>
      <c r="C8" s="5" t="str">
        <f>powiaty_26[[#This Row],[kod powiatu]]</f>
        <v>2606</v>
      </c>
      <c r="D8" s="5" t="s">
        <v>60</v>
      </c>
      <c r="E8" s="5" t="str">
        <f>VLOOKUP(powiaty_26[[#This Row],[kod strefy]],strefy_26[],2,FALSE)</f>
        <v>strefa świętokrzyska</v>
      </c>
      <c r="F8" s="1" t="s">
        <v>56</v>
      </c>
      <c r="H8" s="4"/>
      <c r="I8" s="4"/>
      <c r="J8" s="2"/>
      <c r="M8" s="1" t="s">
        <v>92</v>
      </c>
      <c r="N8" s="1" t="s">
        <v>453</v>
      </c>
    </row>
    <row r="9" spans="1:15" x14ac:dyDescent="0.2">
      <c r="A9" s="6" t="s">
        <v>68</v>
      </c>
      <c r="B9" s="5" t="s">
        <v>82</v>
      </c>
      <c r="C9" s="5" t="str">
        <f>powiaty_26[[#This Row],[kod powiatu]]</f>
        <v>2607</v>
      </c>
      <c r="D9" s="5" t="s">
        <v>60</v>
      </c>
      <c r="E9" s="5" t="str">
        <f>VLOOKUP(powiaty_26[[#This Row],[kod strefy]],strefy_26[],2,FALSE)</f>
        <v>strefa świętokrzyska</v>
      </c>
      <c r="F9" s="1" t="s">
        <v>56</v>
      </c>
      <c r="H9" s="4"/>
      <c r="I9" s="4"/>
      <c r="J9" s="2"/>
      <c r="M9" s="1" t="s">
        <v>94</v>
      </c>
      <c r="N9" s="1" t="s">
        <v>97</v>
      </c>
    </row>
    <row r="10" spans="1:15" x14ac:dyDescent="0.2">
      <c r="A10" s="6" t="s">
        <v>69</v>
      </c>
      <c r="B10" s="5" t="s">
        <v>83</v>
      </c>
      <c r="C10" s="5" t="str">
        <f>powiaty_26[[#This Row],[kod powiatu]]</f>
        <v>2608</v>
      </c>
      <c r="D10" s="5" t="s">
        <v>60</v>
      </c>
      <c r="E10" s="5" t="str">
        <f>VLOOKUP(powiaty_26[[#This Row],[kod strefy]],strefy_26[],2,FALSE)</f>
        <v>strefa świętokrzyska</v>
      </c>
      <c r="F10" s="1" t="s">
        <v>56</v>
      </c>
      <c r="H10" s="4"/>
      <c r="I10" s="4"/>
      <c r="J10" s="2"/>
      <c r="M10" s="1" t="s">
        <v>96</v>
      </c>
      <c r="N10" s="1" t="s">
        <v>98</v>
      </c>
    </row>
    <row r="11" spans="1:15" x14ac:dyDescent="0.2">
      <c r="A11" s="6" t="s">
        <v>70</v>
      </c>
      <c r="B11" s="5" t="s">
        <v>84</v>
      </c>
      <c r="C11" s="5" t="str">
        <f>powiaty_26[[#This Row],[kod powiatu]]</f>
        <v>2609</v>
      </c>
      <c r="D11" s="5" t="s">
        <v>60</v>
      </c>
      <c r="E11" s="5" t="str">
        <f>VLOOKUP(powiaty_26[[#This Row],[kod strefy]],strefy_26[],2,FALSE)</f>
        <v>strefa świętokrzyska</v>
      </c>
      <c r="F11" s="1" t="s">
        <v>56</v>
      </c>
      <c r="H11" s="4"/>
      <c r="I11" s="4"/>
      <c r="J11" s="2"/>
    </row>
    <row r="12" spans="1:15" x14ac:dyDescent="0.2">
      <c r="A12" s="6" t="s">
        <v>71</v>
      </c>
      <c r="B12" s="5" t="s">
        <v>85</v>
      </c>
      <c r="C12" s="5" t="str">
        <f>powiaty_26[[#This Row],[kod powiatu]]</f>
        <v>2610</v>
      </c>
      <c r="D12" s="5" t="s">
        <v>60</v>
      </c>
      <c r="E12" s="5" t="str">
        <f>VLOOKUP(powiaty_26[[#This Row],[kod strefy]],strefy_26[],2,FALSE)</f>
        <v>strefa świętokrzyska</v>
      </c>
      <c r="F12" s="1" t="s">
        <v>56</v>
      </c>
      <c r="H12" s="4"/>
      <c r="I12" s="4"/>
      <c r="J12" s="2"/>
    </row>
    <row r="13" spans="1:15" x14ac:dyDescent="0.2">
      <c r="A13" s="6" t="s">
        <v>72</v>
      </c>
      <c r="B13" s="5" t="s">
        <v>86</v>
      </c>
      <c r="C13" s="5" t="str">
        <f>powiaty_26[[#This Row],[kod powiatu]]</f>
        <v>2611</v>
      </c>
      <c r="D13" s="5" t="s">
        <v>60</v>
      </c>
      <c r="E13" s="5" t="str">
        <f>VLOOKUP(powiaty_26[[#This Row],[kod strefy]],strefy_26[],2,FALSE)</f>
        <v>strefa świętokrzyska</v>
      </c>
      <c r="F13" s="1" t="s">
        <v>56</v>
      </c>
      <c r="H13" s="4"/>
      <c r="I13" s="4"/>
      <c r="J13" s="2"/>
    </row>
    <row r="14" spans="1:15" x14ac:dyDescent="0.2">
      <c r="A14" s="6" t="s">
        <v>73</v>
      </c>
      <c r="B14" s="5" t="s">
        <v>87</v>
      </c>
      <c r="C14" s="5" t="str">
        <f>powiaty_26[[#This Row],[kod powiatu]]</f>
        <v>2612</v>
      </c>
      <c r="D14" s="5" t="s">
        <v>60</v>
      </c>
      <c r="E14" s="5" t="str">
        <f>VLOOKUP(powiaty_26[[#This Row],[kod strefy]],strefy_26[],2,FALSE)</f>
        <v>strefa świętokrzyska</v>
      </c>
      <c r="F14" s="1" t="s">
        <v>56</v>
      </c>
      <c r="H14" s="4"/>
      <c r="I14" s="4"/>
      <c r="J14" s="2"/>
    </row>
    <row r="15" spans="1:15" x14ac:dyDescent="0.2">
      <c r="A15" s="6" t="s">
        <v>74</v>
      </c>
      <c r="B15" s="5" t="s">
        <v>88</v>
      </c>
      <c r="C15" s="5" t="str">
        <f>powiaty_26[[#This Row],[kod powiatu]]</f>
        <v>2613</v>
      </c>
      <c r="D15" s="5" t="s">
        <v>60</v>
      </c>
      <c r="E15" s="5" t="str">
        <f>VLOOKUP(powiaty_26[[#This Row],[kod strefy]],strefy_26[],2,FALSE)</f>
        <v>strefa świętokrzyska</v>
      </c>
      <c r="F15" s="1" t="s">
        <v>56</v>
      </c>
      <c r="H15" s="2"/>
      <c r="I15" s="2"/>
      <c r="J15" s="2"/>
    </row>
    <row r="16" spans="1:15" x14ac:dyDescent="0.2">
      <c r="A16" s="6" t="s">
        <v>75</v>
      </c>
      <c r="B16" s="5" t="s">
        <v>299</v>
      </c>
      <c r="C16" s="5" t="str">
        <f>powiaty_26[[#This Row],[kod powiatu]]</f>
        <v>2661</v>
      </c>
      <c r="D16" s="5" t="s">
        <v>58</v>
      </c>
      <c r="E16" s="5" t="str">
        <f>VLOOKUP(powiaty_26[[#This Row],[kod strefy]],strefy_26[],2,FALSE)</f>
        <v>miasto Kielce</v>
      </c>
      <c r="F16" s="1" t="s">
        <v>56</v>
      </c>
      <c r="H16" s="2"/>
      <c r="I16" s="2"/>
      <c r="J16" s="2"/>
    </row>
  </sheetData>
  <phoneticPr fontId="20" type="noConversion"/>
  <pageMargins left="0.7" right="0.7" top="0.75" bottom="0.75" header="0.3" footer="0.3"/>
  <tableParts count="3">
    <tablePart r:id="rId1"/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G10" sqref="G10"/>
    </sheetView>
  </sheetViews>
  <sheetFormatPr defaultRowHeight="12.75" x14ac:dyDescent="0.2"/>
  <cols>
    <col min="1" max="1" width="5" customWidth="1"/>
    <col min="2" max="2" width="32.7109375" customWidth="1"/>
    <col min="3" max="3" width="41.28515625" customWidth="1"/>
    <col min="4" max="4" width="41.5703125" customWidth="1"/>
    <col min="5" max="5" width="41.28515625" customWidth="1"/>
  </cols>
  <sheetData>
    <row r="1" spans="1:4" ht="26.25" customHeight="1" x14ac:dyDescent="0.2">
      <c r="A1" s="153" t="s">
        <v>547</v>
      </c>
      <c r="B1" s="154"/>
    </row>
    <row r="2" spans="1:4" ht="38.25" customHeight="1" x14ac:dyDescent="0.2">
      <c r="A2" s="131" t="s">
        <v>502</v>
      </c>
      <c r="B2" s="132"/>
    </row>
    <row r="3" spans="1:4" ht="16.5" thickBot="1" x14ac:dyDescent="0.25">
      <c r="A3" s="133"/>
    </row>
    <row r="4" spans="1:4" ht="47.25" customHeight="1" thickBot="1" x14ac:dyDescent="0.25">
      <c r="A4" s="252" t="s">
        <v>503</v>
      </c>
      <c r="B4" s="253"/>
      <c r="C4" s="253"/>
      <c r="D4" s="254"/>
    </row>
    <row r="5" spans="1:4" ht="16.5" thickBot="1" x14ac:dyDescent="0.3">
      <c r="A5" s="151" t="s">
        <v>7</v>
      </c>
      <c r="B5" s="152" t="s">
        <v>504</v>
      </c>
      <c r="C5" s="255" t="s">
        <v>510</v>
      </c>
      <c r="D5" s="256"/>
    </row>
    <row r="6" spans="1:4" ht="54" customHeight="1" thickBot="1" x14ac:dyDescent="0.25">
      <c r="A6" s="134">
        <v>1</v>
      </c>
      <c r="B6" s="135" t="s">
        <v>505</v>
      </c>
      <c r="C6" s="257">
        <v>2025</v>
      </c>
      <c r="D6" s="258"/>
    </row>
    <row r="7" spans="1:4" ht="16.5" thickBot="1" x14ac:dyDescent="0.25">
      <c r="A7" s="134">
        <v>2</v>
      </c>
      <c r="B7" s="135" t="s">
        <v>8</v>
      </c>
      <c r="C7" s="259" t="s">
        <v>56</v>
      </c>
      <c r="D7" s="260"/>
    </row>
    <row r="8" spans="1:4" ht="16.5" thickBot="1" x14ac:dyDescent="0.25">
      <c r="A8" s="134">
        <v>3</v>
      </c>
      <c r="B8" s="135" t="s">
        <v>520</v>
      </c>
      <c r="C8" s="259" t="s">
        <v>60</v>
      </c>
      <c r="D8" s="260"/>
    </row>
    <row r="9" spans="1:4" ht="40.5" customHeight="1" thickBot="1" x14ac:dyDescent="0.25">
      <c r="A9" s="134">
        <v>4</v>
      </c>
      <c r="B9" s="135" t="s">
        <v>551</v>
      </c>
      <c r="C9" s="259" t="s">
        <v>521</v>
      </c>
      <c r="D9" s="260"/>
    </row>
    <row r="10" spans="1:4" ht="63" customHeight="1" thickBot="1" x14ac:dyDescent="0.25">
      <c r="A10" s="134">
        <v>5</v>
      </c>
      <c r="B10" s="135" t="s">
        <v>506</v>
      </c>
      <c r="C10" s="250" t="s">
        <v>582</v>
      </c>
      <c r="D10" s="251"/>
    </row>
    <row r="11" spans="1:4" ht="38.25" customHeight="1" thickBot="1" x14ac:dyDescent="0.25">
      <c r="A11" s="134">
        <v>6</v>
      </c>
      <c r="B11" s="135" t="s">
        <v>552</v>
      </c>
      <c r="C11" s="261" t="s">
        <v>570</v>
      </c>
      <c r="D11" s="251"/>
    </row>
    <row r="12" spans="1:4" ht="49.5" customHeight="1" thickBot="1" x14ac:dyDescent="0.25">
      <c r="A12" s="134">
        <v>7</v>
      </c>
      <c r="B12" s="135" t="s">
        <v>553</v>
      </c>
      <c r="C12" s="262" t="s">
        <v>571</v>
      </c>
      <c r="D12" s="263"/>
    </row>
    <row r="13" spans="1:4" ht="77.25" customHeight="1" thickBot="1" x14ac:dyDescent="0.25">
      <c r="A13" s="134">
        <v>8</v>
      </c>
      <c r="B13" s="135" t="s">
        <v>554</v>
      </c>
      <c r="C13" s="261" t="s">
        <v>572</v>
      </c>
      <c r="D13" s="251"/>
    </row>
    <row r="14" spans="1:4" ht="79.5" customHeight="1" thickBot="1" x14ac:dyDescent="0.25">
      <c r="A14" s="134">
        <v>9</v>
      </c>
      <c r="B14" s="135" t="s">
        <v>555</v>
      </c>
      <c r="C14" s="261" t="s">
        <v>568</v>
      </c>
      <c r="D14" s="251"/>
    </row>
    <row r="15" spans="1:4" ht="109.5" customHeight="1" thickBot="1" x14ac:dyDescent="0.25">
      <c r="A15" s="134">
        <v>10</v>
      </c>
      <c r="B15" s="135" t="s">
        <v>556</v>
      </c>
      <c r="C15" s="250" t="s">
        <v>569</v>
      </c>
      <c r="D15" s="251"/>
    </row>
    <row r="16" spans="1:4" ht="16.5" thickBot="1" x14ac:dyDescent="0.25">
      <c r="A16" s="134">
        <v>11</v>
      </c>
      <c r="B16" s="135" t="s">
        <v>9</v>
      </c>
      <c r="C16" s="234" t="s">
        <v>420</v>
      </c>
      <c r="D16" s="235"/>
    </row>
    <row r="17" spans="1:5" ht="16.5" thickBot="1" x14ac:dyDescent="0.25">
      <c r="A17" s="144"/>
      <c r="B17" s="145"/>
      <c r="C17" s="146"/>
      <c r="D17" s="146"/>
      <c r="E17" s="138"/>
    </row>
    <row r="18" spans="1:5" ht="31.5" customHeight="1" thickBot="1" x14ac:dyDescent="0.25">
      <c r="A18" s="236" t="s">
        <v>507</v>
      </c>
      <c r="B18" s="237"/>
      <c r="C18" s="237"/>
      <c r="D18" s="237"/>
      <c r="E18" s="238"/>
    </row>
    <row r="19" spans="1:5" ht="30" customHeight="1" thickBot="1" x14ac:dyDescent="0.25">
      <c r="A19" s="140" t="s">
        <v>7</v>
      </c>
      <c r="B19" s="141" t="s">
        <v>10</v>
      </c>
      <c r="C19" s="143" t="s">
        <v>524</v>
      </c>
      <c r="D19" s="142" t="s">
        <v>525</v>
      </c>
      <c r="E19" s="143" t="s">
        <v>530</v>
      </c>
    </row>
    <row r="20" spans="1:5" ht="16.5" thickBot="1" x14ac:dyDescent="0.25">
      <c r="A20" s="134">
        <v>1</v>
      </c>
      <c r="B20" s="135" t="s">
        <v>522</v>
      </c>
      <c r="C20" s="158" t="s">
        <v>90</v>
      </c>
      <c r="D20" s="157" t="s">
        <v>92</v>
      </c>
      <c r="E20" s="159" t="s">
        <v>94</v>
      </c>
    </row>
    <row r="21" spans="1:5" ht="63.75" thickBot="1" x14ac:dyDescent="0.25">
      <c r="A21" s="134">
        <v>2</v>
      </c>
      <c r="B21" s="135" t="s">
        <v>508</v>
      </c>
      <c r="C21" s="160" t="s">
        <v>24</v>
      </c>
      <c r="D21" s="161" t="s">
        <v>453</v>
      </c>
      <c r="E21" s="162" t="s">
        <v>97</v>
      </c>
    </row>
    <row r="22" spans="1:5" ht="409.5" customHeight="1" thickBot="1" x14ac:dyDescent="0.25">
      <c r="A22" s="134">
        <v>3</v>
      </c>
      <c r="B22" s="135" t="s">
        <v>523</v>
      </c>
      <c r="C22" s="163" t="s">
        <v>548</v>
      </c>
      <c r="D22" s="163" t="s">
        <v>548</v>
      </c>
      <c r="E22" s="163" t="s">
        <v>548</v>
      </c>
    </row>
    <row r="23" spans="1:5" ht="375" customHeight="1" thickBot="1" x14ac:dyDescent="0.25">
      <c r="A23" s="134">
        <v>4</v>
      </c>
      <c r="B23" s="135" t="s">
        <v>510</v>
      </c>
      <c r="C23" s="164" t="s">
        <v>526</v>
      </c>
      <c r="D23" s="161" t="s">
        <v>527</v>
      </c>
      <c r="E23" s="162" t="s">
        <v>531</v>
      </c>
    </row>
    <row r="24" spans="1:5" ht="16.5" thickBot="1" x14ac:dyDescent="0.25">
      <c r="A24" s="134">
        <v>5</v>
      </c>
      <c r="B24" s="135" t="s">
        <v>528</v>
      </c>
      <c r="C24" s="165" t="s">
        <v>549</v>
      </c>
      <c r="D24" s="161" t="s">
        <v>549</v>
      </c>
      <c r="E24" s="162" t="s">
        <v>549</v>
      </c>
    </row>
    <row r="25" spans="1:5" ht="284.25" thickBot="1" x14ac:dyDescent="0.25">
      <c r="A25" s="134">
        <v>6</v>
      </c>
      <c r="B25" s="135" t="s">
        <v>511</v>
      </c>
      <c r="C25" s="165" t="s">
        <v>550</v>
      </c>
      <c r="D25" s="161" t="s">
        <v>550</v>
      </c>
      <c r="E25" s="162" t="s">
        <v>550</v>
      </c>
    </row>
    <row r="26" spans="1:5" ht="16.5" thickBot="1" x14ac:dyDescent="0.25">
      <c r="A26" s="134">
        <v>7</v>
      </c>
      <c r="B26" s="135" t="s">
        <v>512</v>
      </c>
      <c r="C26" s="166" t="s">
        <v>557</v>
      </c>
      <c r="D26" s="166" t="s">
        <v>557</v>
      </c>
      <c r="E26" s="166" t="s">
        <v>529</v>
      </c>
    </row>
    <row r="27" spans="1:5" s="137" customFormat="1" ht="79.5" thickBot="1" x14ac:dyDescent="0.25">
      <c r="A27" s="149">
        <v>8</v>
      </c>
      <c r="B27" s="150" t="s">
        <v>513</v>
      </c>
      <c r="C27" s="167">
        <f>tab.1_ZSO_gminy!I6/tab.1_ZSO_gminy!F4</f>
        <v>0.39293478260869563</v>
      </c>
      <c r="D27" s="168">
        <f>tab.2_EE_gminy!G4/tab.2_EE_gminy!E2</f>
        <v>2</v>
      </c>
      <c r="E27" s="169">
        <f>tab.3_KPP!G7/tab.3_KPP!E2</f>
        <v>0</v>
      </c>
    </row>
    <row r="28" spans="1:5" ht="32.25" thickBot="1" x14ac:dyDescent="0.25">
      <c r="A28" s="136">
        <v>9</v>
      </c>
      <c r="B28" s="139" t="s">
        <v>514</v>
      </c>
      <c r="C28" s="165" t="s">
        <v>535</v>
      </c>
      <c r="D28" s="170" t="s">
        <v>535</v>
      </c>
      <c r="E28" s="170" t="s">
        <v>536</v>
      </c>
    </row>
    <row r="29" spans="1:5" ht="32.25" thickBot="1" x14ac:dyDescent="0.25">
      <c r="A29" s="136">
        <v>10</v>
      </c>
      <c r="B29" s="139" t="s">
        <v>515</v>
      </c>
      <c r="C29" s="171" t="s">
        <v>537</v>
      </c>
      <c r="D29" s="172" t="s">
        <v>537</v>
      </c>
      <c r="E29" s="171" t="s">
        <v>537</v>
      </c>
    </row>
    <row r="30" spans="1:5" ht="31.5" x14ac:dyDescent="0.2">
      <c r="A30" s="239">
        <v>11</v>
      </c>
      <c r="B30" s="242" t="s">
        <v>516</v>
      </c>
      <c r="C30" s="245" t="s">
        <v>532</v>
      </c>
      <c r="D30" s="173" t="s">
        <v>541</v>
      </c>
      <c r="E30" s="245" t="s">
        <v>534</v>
      </c>
    </row>
    <row r="31" spans="1:5" ht="15.75" x14ac:dyDescent="0.2">
      <c r="A31" s="240"/>
      <c r="B31" s="243"/>
      <c r="C31" s="232"/>
      <c r="D31" s="174">
        <f>tab.2_EE_gminy!F4</f>
        <v>0</v>
      </c>
      <c r="E31" s="232"/>
    </row>
    <row r="32" spans="1:5" ht="15.75" x14ac:dyDescent="0.2">
      <c r="A32" s="240"/>
      <c r="B32" s="243"/>
      <c r="C32" s="232"/>
      <c r="D32" s="175" t="s">
        <v>542</v>
      </c>
      <c r="E32" s="232"/>
    </row>
    <row r="33" spans="1:5" ht="15.75" x14ac:dyDescent="0.2">
      <c r="A33" s="240"/>
      <c r="B33" s="243"/>
      <c r="C33" s="232"/>
      <c r="D33" s="174">
        <f>tab.2_EE_gminy!G4</f>
        <v>2</v>
      </c>
      <c r="E33" s="232"/>
    </row>
    <row r="34" spans="1:5" ht="24.75" customHeight="1" x14ac:dyDescent="0.2">
      <c r="A34" s="240"/>
      <c r="B34" s="243"/>
      <c r="C34" s="246"/>
      <c r="D34" s="175" t="s">
        <v>543</v>
      </c>
      <c r="E34" s="246"/>
    </row>
    <row r="35" spans="1:5" ht="15.75" x14ac:dyDescent="0.2">
      <c r="A35" s="241"/>
      <c r="B35" s="244"/>
      <c r="C35" s="176">
        <f>tab.1_ZSO_gminy!J6</f>
        <v>14</v>
      </c>
      <c r="D35" s="174">
        <f>tab.2_EE_gminy!H4</f>
        <v>0</v>
      </c>
      <c r="E35" s="176">
        <f>tab.3_KPP!H7</f>
        <v>0</v>
      </c>
    </row>
    <row r="36" spans="1:5" ht="15.75" x14ac:dyDescent="0.2">
      <c r="A36" s="241"/>
      <c r="B36" s="244"/>
      <c r="C36" s="247" t="s">
        <v>546</v>
      </c>
      <c r="D36" s="175" t="s">
        <v>545</v>
      </c>
      <c r="E36" s="247" t="s">
        <v>533</v>
      </c>
    </row>
    <row r="37" spans="1:5" ht="15.75" x14ac:dyDescent="0.2">
      <c r="A37" s="241"/>
      <c r="B37" s="244"/>
      <c r="C37" s="248"/>
      <c r="D37" s="174">
        <f>tab.2_EE_gminy!I4</f>
        <v>2</v>
      </c>
      <c r="E37" s="248"/>
    </row>
    <row r="38" spans="1:5" ht="31.5" x14ac:dyDescent="0.2">
      <c r="A38" s="241"/>
      <c r="B38" s="244"/>
      <c r="C38" s="249"/>
      <c r="D38" s="175" t="s">
        <v>544</v>
      </c>
      <c r="E38" s="249"/>
    </row>
    <row r="39" spans="1:5" ht="16.5" thickBot="1" x14ac:dyDescent="0.25">
      <c r="A39" s="241"/>
      <c r="B39" s="244"/>
      <c r="C39" s="177">
        <f>tab.1_ZSO_gminy!I6</f>
        <v>2169</v>
      </c>
      <c r="D39" s="178">
        <f>tab.2_EE_gminy!J4</f>
        <v>200</v>
      </c>
      <c r="E39" s="177">
        <f>tab.3_KPP!M7</f>
        <v>0</v>
      </c>
    </row>
    <row r="40" spans="1:5" ht="15.75" customHeight="1" x14ac:dyDescent="0.2">
      <c r="A40" s="222">
        <v>12</v>
      </c>
      <c r="B40" s="225" t="s">
        <v>559</v>
      </c>
      <c r="C40" s="171" t="s">
        <v>538</v>
      </c>
      <c r="D40" s="228" t="s">
        <v>432</v>
      </c>
      <c r="E40" s="231" t="s">
        <v>432</v>
      </c>
    </row>
    <row r="41" spans="1:5" ht="15.75" x14ac:dyDescent="0.2">
      <c r="A41" s="223"/>
      <c r="B41" s="226"/>
      <c r="C41" s="179">
        <f>tab.1_ZSO_gminy!K6/1000</f>
        <v>1.0781580739999999</v>
      </c>
      <c r="D41" s="229"/>
      <c r="E41" s="232"/>
    </row>
    <row r="42" spans="1:5" ht="15.75" x14ac:dyDescent="0.2">
      <c r="A42" s="223"/>
      <c r="B42" s="226"/>
      <c r="C42" s="180" t="s">
        <v>539</v>
      </c>
      <c r="D42" s="229"/>
      <c r="E42" s="232"/>
    </row>
    <row r="43" spans="1:5" ht="15.75" x14ac:dyDescent="0.2">
      <c r="A43" s="223"/>
      <c r="B43" s="226"/>
      <c r="C43" s="179">
        <f>tab.1_ZSO_gminy!L6/1000</f>
        <v>1.0625845829999998</v>
      </c>
      <c r="D43" s="229"/>
      <c r="E43" s="232"/>
    </row>
    <row r="44" spans="1:5" ht="15.75" x14ac:dyDescent="0.2">
      <c r="A44" s="223"/>
      <c r="B44" s="226"/>
      <c r="C44" s="180" t="s">
        <v>540</v>
      </c>
      <c r="D44" s="229"/>
      <c r="E44" s="232"/>
    </row>
    <row r="45" spans="1:5" ht="16.5" thickBot="1" x14ac:dyDescent="0.25">
      <c r="A45" s="224"/>
      <c r="B45" s="227"/>
      <c r="C45" s="181">
        <f>tab.1_ZSO_gminy!M6/1000</f>
        <v>6.1483409000000005E-4</v>
      </c>
      <c r="D45" s="230"/>
      <c r="E45" s="233"/>
    </row>
    <row r="46" spans="1:5" ht="32.25" thickBot="1" x14ac:dyDescent="0.25">
      <c r="A46" s="148">
        <v>13</v>
      </c>
      <c r="B46" s="147" t="s">
        <v>517</v>
      </c>
      <c r="C46" s="182">
        <f>tab.1_ZSO_gminy!N6</f>
        <v>1081250.54</v>
      </c>
      <c r="D46" s="183">
        <f>tab.2_EE_gminy!K4</f>
        <v>0</v>
      </c>
      <c r="E46" s="156">
        <v>0</v>
      </c>
    </row>
    <row r="47" spans="1:5" ht="126.75" thickBot="1" x14ac:dyDescent="0.25">
      <c r="A47" s="134">
        <v>14</v>
      </c>
      <c r="B47" s="135" t="s">
        <v>518</v>
      </c>
      <c r="C47" s="155" t="s">
        <v>519</v>
      </c>
      <c r="D47" s="156" t="s">
        <v>519</v>
      </c>
      <c r="E47" s="156" t="s">
        <v>519</v>
      </c>
    </row>
    <row r="48" spans="1:5" ht="16.5" thickBot="1" x14ac:dyDescent="0.25">
      <c r="A48" s="134">
        <v>15</v>
      </c>
      <c r="B48" s="135" t="s">
        <v>9</v>
      </c>
      <c r="C48" s="155" t="s">
        <v>509</v>
      </c>
      <c r="D48" s="156" t="s">
        <v>509</v>
      </c>
      <c r="E48" s="156" t="s">
        <v>509</v>
      </c>
    </row>
    <row r="51" spans="1:1" x14ac:dyDescent="0.2">
      <c r="A51" s="43"/>
    </row>
  </sheetData>
  <mergeCells count="24">
    <mergeCell ref="C15:D15"/>
    <mergeCell ref="A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A40:A45"/>
    <mergeCell ref="B40:B45"/>
    <mergeCell ref="D40:D45"/>
    <mergeCell ref="E40:E45"/>
    <mergeCell ref="C16:D16"/>
    <mergeCell ref="A18:E18"/>
    <mergeCell ref="A30:A39"/>
    <mergeCell ref="B30:B39"/>
    <mergeCell ref="C30:C34"/>
    <mergeCell ref="E30:E34"/>
    <mergeCell ref="C36:C38"/>
    <mergeCell ref="E36:E38"/>
  </mergeCells>
  <hyperlinks>
    <hyperlink ref="C15" r:id="rId1"/>
    <hyperlink ref="C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Z180"/>
  <sheetViews>
    <sheetView workbookViewId="0">
      <pane ySplit="8" topLeftCell="A9" activePane="bottomLeft" state="frozen"/>
      <selection pane="bottomLeft" activeCell="Q24" sqref="Q24"/>
    </sheetView>
  </sheetViews>
  <sheetFormatPr defaultColWidth="8.85546875" defaultRowHeight="12" x14ac:dyDescent="0.2"/>
  <cols>
    <col min="1" max="1" width="9" style="1" customWidth="1"/>
    <col min="2" max="2" width="17.7109375" style="1" bestFit="1" customWidth="1"/>
    <col min="3" max="3" width="10.85546875" style="1" bestFit="1" customWidth="1"/>
    <col min="4" max="4" width="8.28515625" style="1" customWidth="1"/>
    <col min="5" max="5" width="13.28515625" style="1" customWidth="1"/>
    <col min="6" max="6" width="9.7109375" style="1" customWidth="1"/>
    <col min="7" max="7" width="14.7109375" style="1" bestFit="1" customWidth="1"/>
    <col min="8" max="15" width="7.7109375" style="1" customWidth="1"/>
    <col min="16" max="17" width="17" style="1" customWidth="1"/>
    <col min="18" max="18" width="3.7109375" style="1" customWidth="1"/>
    <col min="19" max="19" width="6.28515625" style="1" customWidth="1"/>
    <col min="20" max="26" width="6.140625" style="1" customWidth="1"/>
    <col min="27" max="16384" width="8.85546875" style="1"/>
  </cols>
  <sheetData>
    <row r="1" spans="1:26" x14ac:dyDescent="0.2">
      <c r="A1" s="36">
        <v>1</v>
      </c>
      <c r="B1" s="36">
        <f t="shared" ref="B1:Q1" si="0">A1+1</f>
        <v>2</v>
      </c>
      <c r="C1" s="36">
        <f t="shared" si="0"/>
        <v>3</v>
      </c>
      <c r="D1" s="36">
        <f t="shared" si="0"/>
        <v>4</v>
      </c>
      <c r="E1" s="36">
        <f t="shared" si="0"/>
        <v>5</v>
      </c>
      <c r="F1" s="36">
        <f t="shared" si="0"/>
        <v>6</v>
      </c>
      <c r="G1" s="36">
        <f t="shared" si="0"/>
        <v>7</v>
      </c>
      <c r="H1" s="36">
        <f t="shared" si="0"/>
        <v>8</v>
      </c>
      <c r="I1" s="36">
        <f t="shared" si="0"/>
        <v>9</v>
      </c>
      <c r="J1" s="36">
        <f t="shared" si="0"/>
        <v>10</v>
      </c>
      <c r="K1" s="36">
        <f t="shared" si="0"/>
        <v>11</v>
      </c>
      <c r="L1" s="36">
        <f t="shared" si="0"/>
        <v>12</v>
      </c>
      <c r="M1" s="36">
        <f t="shared" si="0"/>
        <v>13</v>
      </c>
      <c r="N1" s="36">
        <f t="shared" si="0"/>
        <v>14</v>
      </c>
      <c r="O1" s="36">
        <f t="shared" si="0"/>
        <v>15</v>
      </c>
      <c r="P1" s="36">
        <f t="shared" si="0"/>
        <v>16</v>
      </c>
      <c r="Q1" s="36">
        <f t="shared" si="0"/>
        <v>17</v>
      </c>
      <c r="R1" s="36">
        <f t="shared" ref="R1" si="1">Q1+1</f>
        <v>18</v>
      </c>
      <c r="S1" s="36">
        <f t="shared" ref="S1" si="2">R1+1</f>
        <v>19</v>
      </c>
      <c r="T1" s="36">
        <f t="shared" ref="T1" si="3">S1+1</f>
        <v>20</v>
      </c>
      <c r="U1" s="36">
        <f t="shared" ref="U1" si="4">T1+1</f>
        <v>21</v>
      </c>
      <c r="V1" s="36">
        <f t="shared" ref="V1" si="5">U1+1</f>
        <v>22</v>
      </c>
      <c r="W1" s="36">
        <f t="shared" ref="W1" si="6">V1+1</f>
        <v>23</v>
      </c>
      <c r="X1" s="36">
        <f t="shared" ref="X1" si="7">W1+1</f>
        <v>24</v>
      </c>
      <c r="Y1" s="36">
        <f t="shared" ref="Y1" si="8">X1+1</f>
        <v>25</v>
      </c>
      <c r="Z1" s="36">
        <f t="shared" ref="Z1" si="9">Y1+1</f>
        <v>26</v>
      </c>
    </row>
    <row r="2" spans="1:26" ht="40.15" customHeight="1" x14ac:dyDescent="0.2">
      <c r="H2" s="185" t="s">
        <v>316</v>
      </c>
      <c r="I2" s="186"/>
      <c r="J2" s="186"/>
      <c r="K2" s="186"/>
      <c r="L2" s="186"/>
      <c r="M2" s="186"/>
      <c r="N2" s="186"/>
      <c r="O2" s="187"/>
      <c r="P2" s="50" t="s">
        <v>318</v>
      </c>
      <c r="Q2" s="50" t="s">
        <v>319</v>
      </c>
      <c r="S2" s="99" t="s">
        <v>300</v>
      </c>
      <c r="T2" s="78">
        <v>2020</v>
      </c>
      <c r="U2" s="78">
        <v>2021</v>
      </c>
      <c r="V2" s="78">
        <v>2022</v>
      </c>
      <c r="W2" s="78">
        <v>2023</v>
      </c>
      <c r="X2" s="78">
        <v>2024</v>
      </c>
      <c r="Y2" s="78">
        <v>2025</v>
      </c>
      <c r="Z2" s="78">
        <v>2026</v>
      </c>
    </row>
    <row r="3" spans="1:26" x14ac:dyDescent="0.2">
      <c r="A3" s="39" t="s">
        <v>6</v>
      </c>
      <c r="B3" s="39" t="s">
        <v>5</v>
      </c>
      <c r="C3" s="39" t="s">
        <v>314</v>
      </c>
      <c r="D3" s="39" t="s">
        <v>300</v>
      </c>
      <c r="E3" s="39" t="s">
        <v>301</v>
      </c>
      <c r="F3" s="39" t="s">
        <v>2</v>
      </c>
      <c r="G3" s="39" t="s">
        <v>3</v>
      </c>
      <c r="H3" s="40" t="s">
        <v>302</v>
      </c>
      <c r="I3" s="40" t="s">
        <v>303</v>
      </c>
      <c r="J3" s="40" t="s">
        <v>304</v>
      </c>
      <c r="K3" s="40" t="s">
        <v>305</v>
      </c>
      <c r="L3" s="40" t="s">
        <v>306</v>
      </c>
      <c r="M3" s="40" t="s">
        <v>307</v>
      </c>
      <c r="N3" s="40" t="s">
        <v>308</v>
      </c>
      <c r="O3" s="41" t="s">
        <v>309</v>
      </c>
      <c r="P3" s="41" t="s">
        <v>28</v>
      </c>
      <c r="Q3" s="41" t="s">
        <v>317</v>
      </c>
      <c r="S3" s="100"/>
      <c r="T3" s="98">
        <f>I$1</f>
        <v>9</v>
      </c>
      <c r="U3" s="98">
        <f t="shared" ref="U3:Z3" si="10">J$1</f>
        <v>10</v>
      </c>
      <c r="V3" s="98">
        <f t="shared" si="10"/>
        <v>11</v>
      </c>
      <c r="W3" s="98">
        <f t="shared" si="10"/>
        <v>12</v>
      </c>
      <c r="X3" s="98">
        <f t="shared" si="10"/>
        <v>13</v>
      </c>
      <c r="Y3" s="98">
        <f t="shared" si="10"/>
        <v>14</v>
      </c>
      <c r="Z3" s="98">
        <f t="shared" si="10"/>
        <v>15</v>
      </c>
    </row>
    <row r="4" spans="1:26" x14ac:dyDescent="0.2">
      <c r="A4" s="1" t="s">
        <v>298</v>
      </c>
      <c r="B4" s="1" t="s">
        <v>299</v>
      </c>
      <c r="C4" s="1" t="str">
        <f>gminy_26[[#This Row],[kod gminy]]</f>
        <v>2661011</v>
      </c>
      <c r="D4" s="1" t="s">
        <v>75</v>
      </c>
      <c r="E4" s="1" t="s">
        <v>299</v>
      </c>
      <c r="F4" s="1" t="s">
        <v>58</v>
      </c>
      <c r="G4" s="1" t="str">
        <f>VLOOKUP(gminy_26[[#This Row],[kod strefy]],strefy_26[],2,FALSE)</f>
        <v>miasto Kielce</v>
      </c>
      <c r="H4" s="35">
        <v>469610</v>
      </c>
      <c r="I4" s="35">
        <v>0</v>
      </c>
      <c r="J4" s="35">
        <v>37570</v>
      </c>
      <c r="K4" s="35">
        <v>70440</v>
      </c>
      <c r="L4" s="35">
        <v>79840</v>
      </c>
      <c r="M4" s="35">
        <v>93920</v>
      </c>
      <c r="N4" s="35">
        <v>93920</v>
      </c>
      <c r="O4" s="38">
        <v>93920</v>
      </c>
      <c r="P4" s="38">
        <v>1</v>
      </c>
      <c r="Q4" s="38">
        <v>200</v>
      </c>
      <c r="S4" s="3" t="s">
        <v>62</v>
      </c>
      <c r="T4" s="101">
        <f>SUMIFS(gminy_26[2020],gminy_26[kod powiatu],$S4)</f>
        <v>0</v>
      </c>
      <c r="U4" s="101">
        <f>SUMIFS(gminy_26[2021],gminy_26[kod powiatu],$S4)</f>
        <v>25610</v>
      </c>
      <c r="V4" s="101">
        <f>SUMIFS(gminy_26[2022],gminy_26[kod powiatu],$S4)</f>
        <v>47970</v>
      </c>
      <c r="W4" s="101">
        <f>SUMIFS(gminy_26[2023],gminy_26[kod powiatu],$S4)</f>
        <v>54400</v>
      </c>
      <c r="X4" s="101">
        <f>SUMIFS(gminy_26[2024],gminy_26[kod powiatu],$S4)</f>
        <v>151140</v>
      </c>
      <c r="Y4" s="101">
        <f>SUMIFS(gminy_26[2025],gminy_26[kod powiatu],$S4)</f>
        <v>151140</v>
      </c>
      <c r="Z4" s="101">
        <f>SUMIFS(gminy_26[2026],gminy_26[kod powiatu],$S4)</f>
        <v>180210</v>
      </c>
    </row>
    <row r="5" spans="1:26" x14ac:dyDescent="0.2">
      <c r="A5" s="1" t="s">
        <v>99</v>
      </c>
      <c r="B5" s="1" t="s">
        <v>100</v>
      </c>
      <c r="C5" s="1" t="str">
        <f>gminy_26[[#This Row],[kod gminy]]</f>
        <v>2606012</v>
      </c>
      <c r="D5" s="1" t="s">
        <v>67</v>
      </c>
      <c r="E5" s="1" t="str">
        <f>VLOOKUP(gminy_26[[#This Row],[kod powiatu]],powiaty_26[],katalogi!$B$1,FALSE)</f>
        <v>opatowski</v>
      </c>
      <c r="F5" s="1" t="s">
        <v>60</v>
      </c>
      <c r="G5" s="1" t="str">
        <f>VLOOKUP(gminy_26[[#This Row],[kod strefy]],strefy_26[],2,FALSE)</f>
        <v>strefa świętokrzyska</v>
      </c>
      <c r="H5" s="35">
        <v>34360</v>
      </c>
      <c r="I5" s="35">
        <v>0</v>
      </c>
      <c r="J5" s="35">
        <v>300</v>
      </c>
      <c r="K5" s="35">
        <v>550</v>
      </c>
      <c r="L5" s="35">
        <v>630</v>
      </c>
      <c r="M5" s="35">
        <v>9940</v>
      </c>
      <c r="N5" s="35">
        <v>9940</v>
      </c>
      <c r="O5" s="38">
        <v>13000</v>
      </c>
      <c r="P5" s="38">
        <v>1</v>
      </c>
      <c r="Q5" s="38">
        <v>5</v>
      </c>
      <c r="S5" s="3" t="s">
        <v>63</v>
      </c>
      <c r="T5" s="101">
        <f>SUMIFS(gminy_26[2020],gminy_26[kod powiatu],$S5)</f>
        <v>0</v>
      </c>
      <c r="U5" s="101">
        <f>SUMIFS(gminy_26[2021],gminy_26[kod powiatu],$S5)</f>
        <v>35820</v>
      </c>
      <c r="V5" s="101">
        <f>SUMIFS(gminy_26[2022],gminy_26[kod powiatu],$S5)</f>
        <v>67110</v>
      </c>
      <c r="W5" s="101">
        <f>SUMIFS(gminy_26[2023],gminy_26[kod powiatu],$S5)</f>
        <v>76070</v>
      </c>
      <c r="X5" s="101">
        <f>SUMIFS(gminy_26[2024],gminy_26[kod powiatu],$S5)</f>
        <v>209790</v>
      </c>
      <c r="Y5" s="101">
        <f>SUMIFS(gminy_26[2025],gminy_26[kod powiatu],$S5)</f>
        <v>209790</v>
      </c>
      <c r="Z5" s="101">
        <f>SUMIFS(gminy_26[2026],gminy_26[kod powiatu],$S5)</f>
        <v>249900</v>
      </c>
    </row>
    <row r="6" spans="1:26" x14ac:dyDescent="0.2">
      <c r="A6" s="1" t="s">
        <v>101</v>
      </c>
      <c r="B6" s="1" t="s">
        <v>102</v>
      </c>
      <c r="C6" s="1" t="str">
        <f>gminy_26[[#This Row],[kod gminy]]</f>
        <v>2607022</v>
      </c>
      <c r="D6" s="1" t="s">
        <v>68</v>
      </c>
      <c r="E6" s="1" t="str">
        <f>VLOOKUP(gminy_26[[#This Row],[kod powiatu]],powiaty_26[],katalogi!$B$1,FALSE)</f>
        <v>ostrowiecki</v>
      </c>
      <c r="F6" s="1" t="s">
        <v>60</v>
      </c>
      <c r="G6" s="1" t="str">
        <f>VLOOKUP(gminy_26[[#This Row],[kod strefy]],strefy_26[],2,FALSE)</f>
        <v>strefa świętokrzyska</v>
      </c>
      <c r="H6" s="35">
        <v>37380</v>
      </c>
      <c r="I6" s="35">
        <v>0</v>
      </c>
      <c r="J6" s="35">
        <v>1570</v>
      </c>
      <c r="K6" s="35">
        <v>2930</v>
      </c>
      <c r="L6" s="35">
        <v>3320</v>
      </c>
      <c r="M6" s="35">
        <v>9260</v>
      </c>
      <c r="N6" s="35">
        <v>9260</v>
      </c>
      <c r="O6" s="38">
        <v>11040</v>
      </c>
      <c r="P6" s="38">
        <v>1</v>
      </c>
      <c r="Q6" s="38">
        <v>5</v>
      </c>
      <c r="S6" s="3" t="s">
        <v>64</v>
      </c>
      <c r="T6" s="101">
        <f>SUMIFS(gminy_26[2020],gminy_26[kod powiatu],$S6)</f>
        <v>0</v>
      </c>
      <c r="U6" s="101">
        <f>SUMIFS(gminy_26[2021],gminy_26[kod powiatu],$S6)</f>
        <v>6800</v>
      </c>
      <c r="V6" s="101">
        <f>SUMIFS(gminy_26[2022],gminy_26[kod powiatu],$S6)</f>
        <v>12710</v>
      </c>
      <c r="W6" s="101">
        <f>SUMIFS(gminy_26[2023],gminy_26[kod powiatu],$S6)</f>
        <v>14420</v>
      </c>
      <c r="X6" s="101">
        <f>SUMIFS(gminy_26[2024],gminy_26[kod powiatu],$S6)</f>
        <v>64320</v>
      </c>
      <c r="Y6" s="101">
        <f>SUMIFS(gminy_26[2025],gminy_26[kod powiatu],$S6)</f>
        <v>64320</v>
      </c>
      <c r="Z6" s="101">
        <f>SUMIFS(gminy_26[2026],gminy_26[kod powiatu],$S6)</f>
        <v>80110</v>
      </c>
    </row>
    <row r="7" spans="1:26" x14ac:dyDescent="0.2">
      <c r="A7" s="1" t="s">
        <v>103</v>
      </c>
      <c r="B7" s="1" t="s">
        <v>104</v>
      </c>
      <c r="C7" s="1" t="str">
        <f>gminy_26[[#This Row],[kod gminy]]</f>
        <v>2603012</v>
      </c>
      <c r="D7" s="1" t="s">
        <v>64</v>
      </c>
      <c r="E7" s="1" t="str">
        <f>VLOOKUP(gminy_26[[#This Row],[kod powiatu]],powiaty_26[],katalogi!$B$1,FALSE)</f>
        <v>kazimierski</v>
      </c>
      <c r="F7" s="1" t="s">
        <v>60</v>
      </c>
      <c r="G7" s="1" t="str">
        <f>VLOOKUP(gminy_26[[#This Row],[kod strefy]],strefy_26[],2,FALSE)</f>
        <v>strefa świętokrzyska</v>
      </c>
      <c r="H7" s="35">
        <v>29250</v>
      </c>
      <c r="I7" s="35">
        <v>0</v>
      </c>
      <c r="J7" s="35">
        <v>790</v>
      </c>
      <c r="K7" s="35">
        <v>1470</v>
      </c>
      <c r="L7" s="35">
        <v>1670</v>
      </c>
      <c r="M7" s="35">
        <v>7790</v>
      </c>
      <c r="N7" s="35">
        <v>7790</v>
      </c>
      <c r="O7" s="38">
        <v>9740</v>
      </c>
      <c r="P7" s="38">
        <v>1</v>
      </c>
      <c r="Q7" s="38">
        <v>5</v>
      </c>
      <c r="S7" s="3" t="s">
        <v>65</v>
      </c>
      <c r="T7" s="101">
        <f>SUMIFS(gminy_26[2020],gminy_26[kod powiatu],$S7)</f>
        <v>0</v>
      </c>
      <c r="U7" s="101">
        <f>SUMIFS(gminy_26[2021],gminy_26[kod powiatu],$S7)</f>
        <v>92530</v>
      </c>
      <c r="V7" s="101">
        <f>SUMIFS(gminy_26[2022],gminy_26[kod powiatu],$S7)</f>
        <v>173390</v>
      </c>
      <c r="W7" s="101">
        <f>SUMIFS(gminy_26[2023],gminy_26[kod powiatu],$S7)</f>
        <v>196460</v>
      </c>
      <c r="X7" s="101">
        <f>SUMIFS(gminy_26[2024],gminy_26[kod powiatu],$S7)</f>
        <v>587180</v>
      </c>
      <c r="Y7" s="101">
        <f>SUMIFS(gminy_26[2025],gminy_26[kod powiatu],$S7)</f>
        <v>587180</v>
      </c>
      <c r="Z7" s="101">
        <f>SUMIFS(gminy_26[2026],gminy_26[kod powiatu],$S7)</f>
        <v>705840</v>
      </c>
    </row>
    <row r="8" spans="1:26" x14ac:dyDescent="0.2">
      <c r="A8" s="1" t="s">
        <v>105</v>
      </c>
      <c r="B8" s="1" t="s">
        <v>106</v>
      </c>
      <c r="C8" s="1" t="str">
        <f>gminy_26[[#This Row],[kod gminy]]</f>
        <v>2604012</v>
      </c>
      <c r="D8" s="1" t="s">
        <v>65</v>
      </c>
      <c r="E8" s="1" t="str">
        <f>VLOOKUP(gminy_26[[#This Row],[kod powiatu]],powiaty_26[],katalogi!$B$1,FALSE)</f>
        <v>kielecki</v>
      </c>
      <c r="F8" s="1" t="s">
        <v>60</v>
      </c>
      <c r="G8" s="1" t="str">
        <f>VLOOKUP(gminy_26[[#This Row],[kod strefy]],strefy_26[],2,FALSE)</f>
        <v>strefa świętokrzyska</v>
      </c>
      <c r="H8" s="35">
        <v>123210</v>
      </c>
      <c r="I8" s="35">
        <v>0</v>
      </c>
      <c r="J8" s="35">
        <v>4940</v>
      </c>
      <c r="K8" s="35">
        <v>9260</v>
      </c>
      <c r="L8" s="35">
        <v>10490</v>
      </c>
      <c r="M8" s="35">
        <v>30790</v>
      </c>
      <c r="N8" s="35">
        <v>30790</v>
      </c>
      <c r="O8" s="38">
        <v>36940</v>
      </c>
      <c r="P8" s="38">
        <v>1</v>
      </c>
      <c r="Q8" s="38">
        <v>5</v>
      </c>
      <c r="S8" s="3" t="s">
        <v>66</v>
      </c>
      <c r="T8" s="101">
        <f>SUMIFS(gminy_26[2020],gminy_26[kod powiatu],$S8)</f>
        <v>0</v>
      </c>
      <c r="U8" s="101">
        <f>SUMIFS(gminy_26[2021],gminy_26[kod powiatu],$S8)</f>
        <v>21050</v>
      </c>
      <c r="V8" s="101">
        <f>SUMIFS(gminy_26[2022],gminy_26[kod powiatu],$S8)</f>
        <v>39410</v>
      </c>
      <c r="W8" s="101">
        <f>SUMIFS(gminy_26[2023],gminy_26[kod powiatu],$S8)</f>
        <v>44670</v>
      </c>
      <c r="X8" s="101">
        <f>SUMIFS(gminy_26[2024],gminy_26[kod powiatu],$S8)</f>
        <v>183160</v>
      </c>
      <c r="Y8" s="101">
        <f>SUMIFS(gminy_26[2025],gminy_26[kod powiatu],$S8)</f>
        <v>183160</v>
      </c>
      <c r="Z8" s="101">
        <f>SUMIFS(gminy_26[2026],gminy_26[kod powiatu],$S8)</f>
        <v>226700</v>
      </c>
    </row>
    <row r="9" spans="1:26" x14ac:dyDescent="0.2">
      <c r="A9" s="1" t="s">
        <v>107</v>
      </c>
      <c r="B9" s="1" t="s">
        <v>108</v>
      </c>
      <c r="C9" s="1" t="str">
        <f>gminy_26[[#This Row],[kod gminy]]</f>
        <v>2610022</v>
      </c>
      <c r="D9" s="1" t="s">
        <v>71</v>
      </c>
      <c r="E9" s="1" t="str">
        <f>VLOOKUP(gminy_26[[#This Row],[kod powiatu]],powiaty_26[],katalogi!$B$1,FALSE)</f>
        <v>skarżyski</v>
      </c>
      <c r="F9" s="1" t="s">
        <v>60</v>
      </c>
      <c r="G9" s="1" t="str">
        <f>VLOOKUP(gminy_26[[#This Row],[kod strefy]],strefy_26[],2,FALSE)</f>
        <v>strefa świętokrzyska</v>
      </c>
      <c r="H9" s="35">
        <v>77710</v>
      </c>
      <c r="I9" s="35">
        <v>0</v>
      </c>
      <c r="J9" s="35">
        <v>2060</v>
      </c>
      <c r="K9" s="35">
        <v>3860</v>
      </c>
      <c r="L9" s="35">
        <v>4370</v>
      </c>
      <c r="M9" s="35">
        <v>20740</v>
      </c>
      <c r="N9" s="35">
        <v>20740</v>
      </c>
      <c r="O9" s="38">
        <v>25940</v>
      </c>
      <c r="P9" s="38">
        <v>1</v>
      </c>
      <c r="Q9" s="38">
        <v>5</v>
      </c>
      <c r="S9" s="3" t="s">
        <v>67</v>
      </c>
      <c r="T9" s="101">
        <f>SUMIFS(gminy_26[2020],gminy_26[kod powiatu],$S9)</f>
        <v>0</v>
      </c>
      <c r="U9" s="101">
        <f>SUMIFS(gminy_26[2021],gminy_26[kod powiatu],$S9)</f>
        <v>2680</v>
      </c>
      <c r="V9" s="101">
        <f>SUMIFS(gminy_26[2022],gminy_26[kod powiatu],$S9)</f>
        <v>4980</v>
      </c>
      <c r="W9" s="101">
        <f>SUMIFS(gminy_26[2023],gminy_26[kod powiatu],$S9)</f>
        <v>5660</v>
      </c>
      <c r="X9" s="101">
        <f>SUMIFS(gminy_26[2024],gminy_26[kod powiatu],$S9)</f>
        <v>92630</v>
      </c>
      <c r="Y9" s="101">
        <f>SUMIFS(gminy_26[2025],gminy_26[kod powiatu],$S9)</f>
        <v>92630</v>
      </c>
      <c r="Z9" s="101">
        <f>SUMIFS(gminy_26[2026],gminy_26[kod powiatu],$S9)</f>
        <v>121290</v>
      </c>
    </row>
    <row r="10" spans="1:26" x14ac:dyDescent="0.2">
      <c r="A10" s="1" t="s">
        <v>109</v>
      </c>
      <c r="B10" s="1" t="s">
        <v>110</v>
      </c>
      <c r="C10" s="1" t="str">
        <f>gminy_26[[#This Row],[kod gminy]]</f>
        <v>2607032</v>
      </c>
      <c r="D10" s="1" t="s">
        <v>68</v>
      </c>
      <c r="E10" s="1" t="str">
        <f>VLOOKUP(gminy_26[[#This Row],[kod powiatu]],powiaty_26[],katalogi!$B$1,FALSE)</f>
        <v>ostrowiecki</v>
      </c>
      <c r="F10" s="1" t="s">
        <v>60</v>
      </c>
      <c r="G10" s="1" t="str">
        <f>VLOOKUP(gminy_26[[#This Row],[kod strefy]],strefy_26[],2,FALSE)</f>
        <v>strefa świętokrzyska</v>
      </c>
      <c r="H10" s="35">
        <v>106270</v>
      </c>
      <c r="I10" s="35">
        <v>0</v>
      </c>
      <c r="J10" s="35">
        <v>4450</v>
      </c>
      <c r="K10" s="35">
        <v>8340</v>
      </c>
      <c r="L10" s="35">
        <v>9450</v>
      </c>
      <c r="M10" s="35">
        <v>26320</v>
      </c>
      <c r="N10" s="35">
        <v>26320</v>
      </c>
      <c r="O10" s="38">
        <v>31390</v>
      </c>
      <c r="P10" s="38">
        <v>1</v>
      </c>
      <c r="Q10" s="38">
        <v>5</v>
      </c>
      <c r="S10" s="3" t="s">
        <v>68</v>
      </c>
      <c r="T10" s="101">
        <f>SUMIFS(gminy_26[2020],gminy_26[kod powiatu],$S10)</f>
        <v>0</v>
      </c>
      <c r="U10" s="101">
        <f>SUMIFS(gminy_26[2021],gminy_26[kod powiatu],$S10)</f>
        <v>34780</v>
      </c>
      <c r="V10" s="101">
        <f>SUMIFS(gminy_26[2022],gminy_26[kod powiatu],$S10)</f>
        <v>65180</v>
      </c>
      <c r="W10" s="101">
        <f>SUMIFS(gminy_26[2023],gminy_26[kod powiatu],$S10)</f>
        <v>73870</v>
      </c>
      <c r="X10" s="101">
        <f>SUMIFS(gminy_26[2024],gminy_26[kod powiatu],$S10)</f>
        <v>199550</v>
      </c>
      <c r="Y10" s="101">
        <f>SUMIFS(gminy_26[2025],gminy_26[kod powiatu],$S10)</f>
        <v>199550</v>
      </c>
      <c r="Z10" s="101">
        <f>SUMIFS(gminy_26[2026],gminy_26[kod powiatu],$S10)</f>
        <v>237080</v>
      </c>
    </row>
    <row r="11" spans="1:26" x14ac:dyDescent="0.2">
      <c r="A11" s="1" t="s">
        <v>111</v>
      </c>
      <c r="B11" s="1" t="s">
        <v>112</v>
      </c>
      <c r="C11" s="1" t="str">
        <f>gminy_26[[#This Row],[kod gminy]]</f>
        <v>2604023</v>
      </c>
      <c r="D11" s="1" t="s">
        <v>65</v>
      </c>
      <c r="E11" s="1" t="str">
        <f>VLOOKUP(gminy_26[[#This Row],[kod powiatu]],powiaty_26[],katalogi!$B$1,FALSE)</f>
        <v>kielecki</v>
      </c>
      <c r="F11" s="1" t="s">
        <v>60</v>
      </c>
      <c r="G11" s="1" t="str">
        <f>VLOOKUP(gminy_26[[#This Row],[kod strefy]],strefy_26[],2,FALSE)</f>
        <v>strefa świętokrzyska</v>
      </c>
      <c r="H11" s="35">
        <v>129960</v>
      </c>
      <c r="I11" s="35">
        <v>0</v>
      </c>
      <c r="J11" s="35">
        <v>5080</v>
      </c>
      <c r="K11" s="35">
        <v>9520</v>
      </c>
      <c r="L11" s="35">
        <v>10790</v>
      </c>
      <c r="M11" s="35">
        <v>32640</v>
      </c>
      <c r="N11" s="35">
        <v>32640</v>
      </c>
      <c r="O11" s="38">
        <v>39290</v>
      </c>
      <c r="P11" s="38">
        <v>1</v>
      </c>
      <c r="Q11" s="38">
        <v>20</v>
      </c>
      <c r="S11" s="3" t="s">
        <v>69</v>
      </c>
      <c r="T11" s="101">
        <f>SUMIFS(gminy_26[2020],gminy_26[kod powiatu],$S11)</f>
        <v>0</v>
      </c>
      <c r="U11" s="101">
        <f>SUMIFS(gminy_26[2021],gminy_26[kod powiatu],$S11)</f>
        <v>4280</v>
      </c>
      <c r="V11" s="101">
        <f>SUMIFS(gminy_26[2022],gminy_26[kod powiatu],$S11)</f>
        <v>8010</v>
      </c>
      <c r="W11" s="101">
        <f>SUMIFS(gminy_26[2023],gminy_26[kod powiatu],$S11)</f>
        <v>9070</v>
      </c>
      <c r="X11" s="101">
        <f>SUMIFS(gminy_26[2024],gminy_26[kod powiatu],$S11)</f>
        <v>101300</v>
      </c>
      <c r="Y11" s="101">
        <f>SUMIFS(gminy_26[2025],gminy_26[kod powiatu],$S11)</f>
        <v>101300</v>
      </c>
      <c r="Z11" s="101">
        <f>SUMIFS(gminy_26[2026],gminy_26[kod powiatu],$S11)</f>
        <v>131530</v>
      </c>
    </row>
    <row r="12" spans="1:26" x14ac:dyDescent="0.2">
      <c r="A12" s="1" t="s">
        <v>113</v>
      </c>
      <c r="B12" s="1" t="s">
        <v>114</v>
      </c>
      <c r="C12" s="1" t="str">
        <f>gminy_26[[#This Row],[kod gminy]]</f>
        <v>2612012</v>
      </c>
      <c r="D12" s="1" t="s">
        <v>73</v>
      </c>
      <c r="E12" s="1" t="str">
        <f>VLOOKUP(gminy_26[[#This Row],[kod powiatu]],powiaty_26[],katalogi!$B$1,FALSE)</f>
        <v>staszowski</v>
      </c>
      <c r="F12" s="1" t="s">
        <v>60</v>
      </c>
      <c r="G12" s="1" t="str">
        <f>VLOOKUP(gminy_26[[#This Row],[kod strefy]],strefy_26[],2,FALSE)</f>
        <v>strefa świętokrzyska</v>
      </c>
      <c r="H12" s="35">
        <v>75700</v>
      </c>
      <c r="I12" s="35">
        <v>0</v>
      </c>
      <c r="J12" s="35">
        <v>4460</v>
      </c>
      <c r="K12" s="35">
        <v>8350</v>
      </c>
      <c r="L12" s="35">
        <v>9460</v>
      </c>
      <c r="M12" s="35">
        <v>17140</v>
      </c>
      <c r="N12" s="35">
        <v>17140</v>
      </c>
      <c r="O12" s="38">
        <v>19150</v>
      </c>
      <c r="P12" s="38">
        <v>1</v>
      </c>
      <c r="Q12" s="38">
        <v>20</v>
      </c>
      <c r="S12" s="3" t="s">
        <v>70</v>
      </c>
      <c r="T12" s="101">
        <f>SUMIFS(gminy_26[2020],gminy_26[kod powiatu],$S12)</f>
        <v>0</v>
      </c>
      <c r="U12" s="101">
        <f>SUMIFS(gminy_26[2021],gminy_26[kod powiatu],$S12)</f>
        <v>12250</v>
      </c>
      <c r="V12" s="101">
        <f>SUMIFS(gminy_26[2022],gminy_26[kod powiatu],$S12)</f>
        <v>22900</v>
      </c>
      <c r="W12" s="101">
        <f>SUMIFS(gminy_26[2023],gminy_26[kod powiatu],$S12)</f>
        <v>25970</v>
      </c>
      <c r="X12" s="101">
        <f>SUMIFS(gminy_26[2024],gminy_26[kod powiatu],$S12)</f>
        <v>92860</v>
      </c>
      <c r="Y12" s="101">
        <f>SUMIFS(gminy_26[2025],gminy_26[kod powiatu],$S12)</f>
        <v>92860</v>
      </c>
      <c r="Z12" s="101">
        <f>SUMIFS(gminy_26[2026],gminy_26[kod powiatu],$S12)</f>
        <v>113620</v>
      </c>
    </row>
    <row r="13" spans="1:26" x14ac:dyDescent="0.2">
      <c r="A13" s="1" t="s">
        <v>115</v>
      </c>
      <c r="B13" s="1" t="s">
        <v>116</v>
      </c>
      <c r="C13" s="1" t="str">
        <f>gminy_26[[#This Row],[kod gminy]]</f>
        <v>2611022</v>
      </c>
      <c r="D13" s="1" t="s">
        <v>72</v>
      </c>
      <c r="E13" s="1" t="str">
        <f>VLOOKUP(gminy_26[[#This Row],[kod powiatu]],powiaty_26[],katalogi!$B$1,FALSE)</f>
        <v>starachowicki</v>
      </c>
      <c r="F13" s="1" t="s">
        <v>60</v>
      </c>
      <c r="G13" s="1" t="str">
        <f>VLOOKUP(gminy_26[[#This Row],[kod strefy]],strefy_26[],2,FALSE)</f>
        <v>strefa świętokrzyska</v>
      </c>
      <c r="H13" s="35">
        <v>104260</v>
      </c>
      <c r="I13" s="35">
        <v>0</v>
      </c>
      <c r="J13" s="35">
        <v>2970</v>
      </c>
      <c r="K13" s="35">
        <v>5560</v>
      </c>
      <c r="L13" s="35">
        <v>6300</v>
      </c>
      <c r="M13" s="35">
        <v>27570</v>
      </c>
      <c r="N13" s="35">
        <v>27570</v>
      </c>
      <c r="O13" s="38">
        <v>34290</v>
      </c>
      <c r="P13" s="38">
        <v>1</v>
      </c>
      <c r="Q13" s="38">
        <v>5</v>
      </c>
      <c r="S13" s="3" t="s">
        <v>71</v>
      </c>
      <c r="T13" s="101">
        <f>SUMIFS(gminy_26[2020],gminy_26[kod powiatu],$S13)</f>
        <v>0</v>
      </c>
      <c r="U13" s="101">
        <f>SUMIFS(gminy_26[2021],gminy_26[kod powiatu],$S13)</f>
        <v>14480</v>
      </c>
      <c r="V13" s="101">
        <f>SUMIFS(gminy_26[2022],gminy_26[kod powiatu],$S13)</f>
        <v>27140</v>
      </c>
      <c r="W13" s="101">
        <f>SUMIFS(gminy_26[2023],gminy_26[kod powiatu],$S13)</f>
        <v>30740</v>
      </c>
      <c r="X13" s="101">
        <f>SUMIFS(gminy_26[2024],gminy_26[kod powiatu],$S13)</f>
        <v>145850</v>
      </c>
      <c r="Y13" s="101">
        <f>SUMIFS(gminy_26[2025],gminy_26[kod powiatu],$S13)</f>
        <v>145850</v>
      </c>
      <c r="Z13" s="101">
        <f>SUMIFS(gminy_26[2026],gminy_26[kod powiatu],$S13)</f>
        <v>182410</v>
      </c>
    </row>
    <row r="14" spans="1:26" x14ac:dyDescent="0.2">
      <c r="A14" s="1" t="s">
        <v>117</v>
      </c>
      <c r="B14" s="1" t="s">
        <v>118</v>
      </c>
      <c r="C14" s="1" t="str">
        <f>gminy_26[[#This Row],[kod gminy]]</f>
        <v>2601013</v>
      </c>
      <c r="D14" s="1" t="s">
        <v>62</v>
      </c>
      <c r="E14" s="1" t="str">
        <f>VLOOKUP(gminy_26[[#This Row],[kod powiatu]],powiaty_26[],katalogi!$B$1,FALSE)</f>
        <v>buski</v>
      </c>
      <c r="F14" s="1" t="s">
        <v>60</v>
      </c>
      <c r="G14" s="1" t="str">
        <f>VLOOKUP(gminy_26[[#This Row],[kod strefy]],strefy_26[],2,FALSE)</f>
        <v>strefa świętokrzyska</v>
      </c>
      <c r="H14" s="35">
        <v>236640</v>
      </c>
      <c r="I14" s="35">
        <v>0</v>
      </c>
      <c r="J14" s="35">
        <v>10010</v>
      </c>
      <c r="K14" s="35">
        <v>18760</v>
      </c>
      <c r="L14" s="35">
        <v>21270</v>
      </c>
      <c r="M14" s="35">
        <v>58480</v>
      </c>
      <c r="N14" s="35">
        <v>58480</v>
      </c>
      <c r="O14" s="38">
        <v>69640</v>
      </c>
      <c r="P14" s="38">
        <v>1</v>
      </c>
      <c r="Q14" s="38">
        <v>20</v>
      </c>
      <c r="S14" s="3" t="s">
        <v>72</v>
      </c>
      <c r="T14" s="101">
        <f>SUMIFS(gminy_26[2020],gminy_26[kod powiatu],$S14)</f>
        <v>0</v>
      </c>
      <c r="U14" s="101">
        <f>SUMIFS(gminy_26[2021],gminy_26[kod powiatu],$S14)</f>
        <v>19370</v>
      </c>
      <c r="V14" s="101">
        <f>SUMIFS(gminy_26[2022],gminy_26[kod powiatu],$S14)</f>
        <v>36300</v>
      </c>
      <c r="W14" s="101">
        <f>SUMIFS(gminy_26[2023],gminy_26[kod powiatu],$S14)</f>
        <v>41120</v>
      </c>
      <c r="X14" s="101">
        <f>SUMIFS(gminy_26[2024],gminy_26[kod powiatu],$S14)</f>
        <v>180100</v>
      </c>
      <c r="Y14" s="101">
        <f>SUMIFS(gminy_26[2025],gminy_26[kod powiatu],$S14)</f>
        <v>180100</v>
      </c>
      <c r="Z14" s="101">
        <f>SUMIFS(gminy_26[2026],gminy_26[kod powiatu],$S14)</f>
        <v>223990</v>
      </c>
    </row>
    <row r="15" spans="1:26" x14ac:dyDescent="0.2">
      <c r="A15" s="1" t="s">
        <v>119</v>
      </c>
      <c r="B15" s="1" t="s">
        <v>120</v>
      </c>
      <c r="C15" s="1" t="str">
        <f>gminy_26[[#This Row],[kod gminy]]</f>
        <v>2604033</v>
      </c>
      <c r="D15" s="1" t="s">
        <v>65</v>
      </c>
      <c r="E15" s="1" t="str">
        <f>VLOOKUP(gminy_26[[#This Row],[kod powiatu]],powiaty_26[],katalogi!$B$1,FALSE)</f>
        <v>kielecki</v>
      </c>
      <c r="F15" s="1" t="s">
        <v>60</v>
      </c>
      <c r="G15" s="1" t="str">
        <f>VLOOKUP(gminy_26[[#This Row],[kod strefy]],strefy_26[],2,FALSE)</f>
        <v>strefa świętokrzyska</v>
      </c>
      <c r="H15" s="35">
        <v>159720</v>
      </c>
      <c r="I15" s="35">
        <v>0</v>
      </c>
      <c r="J15" s="35">
        <v>6330</v>
      </c>
      <c r="K15" s="35">
        <v>11860</v>
      </c>
      <c r="L15" s="35">
        <v>13440</v>
      </c>
      <c r="M15" s="35">
        <v>40010</v>
      </c>
      <c r="N15" s="35">
        <v>40010</v>
      </c>
      <c r="O15" s="38">
        <v>48070</v>
      </c>
      <c r="P15" s="38">
        <v>1</v>
      </c>
      <c r="Q15" s="38">
        <v>20</v>
      </c>
      <c r="S15" s="3" t="s">
        <v>73</v>
      </c>
      <c r="T15" s="101">
        <f>SUMIFS(gminy_26[2020],gminy_26[kod powiatu],$S15)</f>
        <v>0</v>
      </c>
      <c r="U15" s="101">
        <f>SUMIFS(gminy_26[2021],gminy_26[kod powiatu],$S15)</f>
        <v>37080</v>
      </c>
      <c r="V15" s="101">
        <f>SUMIFS(gminy_26[2022],gminy_26[kod powiatu],$S15)</f>
        <v>69470</v>
      </c>
      <c r="W15" s="101">
        <f>SUMIFS(gminy_26[2023],gminy_26[kod powiatu],$S15)</f>
        <v>78710</v>
      </c>
      <c r="X15" s="101">
        <f>SUMIFS(gminy_26[2024],gminy_26[kod powiatu],$S15)</f>
        <v>141990</v>
      </c>
      <c r="Y15" s="101">
        <f>SUMIFS(gminy_26[2025],gminy_26[kod powiatu],$S15)</f>
        <v>141990</v>
      </c>
      <c r="Z15" s="101">
        <f>SUMIFS(gminy_26[2026],gminy_26[kod powiatu],$S15)</f>
        <v>158460</v>
      </c>
    </row>
    <row r="16" spans="1:26" x14ac:dyDescent="0.2">
      <c r="A16" s="1" t="s">
        <v>121</v>
      </c>
      <c r="B16" s="1" t="s">
        <v>122</v>
      </c>
      <c r="C16" s="1" t="str">
        <f>gminy_26[[#This Row],[kod gminy]]</f>
        <v>2604043</v>
      </c>
      <c r="D16" s="1" t="s">
        <v>65</v>
      </c>
      <c r="E16" s="1" t="str">
        <f>VLOOKUP(gminy_26[[#This Row],[kod powiatu]],powiaty_26[],katalogi!$B$1,FALSE)</f>
        <v>kielecki</v>
      </c>
      <c r="F16" s="1" t="s">
        <v>60</v>
      </c>
      <c r="G16" s="1" t="str">
        <f>VLOOKUP(gminy_26[[#This Row],[kod strefy]],strefy_26[],2,FALSE)</f>
        <v>strefa świętokrzyska</v>
      </c>
      <c r="H16" s="35">
        <v>122540</v>
      </c>
      <c r="I16" s="35">
        <v>0</v>
      </c>
      <c r="J16" s="35">
        <v>4860</v>
      </c>
      <c r="K16" s="35">
        <v>9100</v>
      </c>
      <c r="L16" s="35">
        <v>10320</v>
      </c>
      <c r="M16" s="35">
        <v>30690</v>
      </c>
      <c r="N16" s="35">
        <v>30690</v>
      </c>
      <c r="O16" s="38">
        <v>36880</v>
      </c>
      <c r="P16" s="38">
        <v>1</v>
      </c>
      <c r="Q16" s="38">
        <v>20</v>
      </c>
      <c r="S16" s="3" t="s">
        <v>74</v>
      </c>
      <c r="T16" s="101">
        <f>SUMIFS(gminy_26[2020],gminy_26[kod powiatu],$S16)</f>
        <v>0</v>
      </c>
      <c r="U16" s="101">
        <f>SUMIFS(gminy_26[2021],gminy_26[kod powiatu],$S16)</f>
        <v>5500</v>
      </c>
      <c r="V16" s="101">
        <f>SUMIFS(gminy_26[2022],gminy_26[kod powiatu],$S16)</f>
        <v>10290</v>
      </c>
      <c r="W16" s="101">
        <f>SUMIFS(gminy_26[2023],gminy_26[kod powiatu],$S16)</f>
        <v>11660</v>
      </c>
      <c r="X16" s="101">
        <f>SUMIFS(gminy_26[2024],gminy_26[kod powiatu],$S16)</f>
        <v>97440</v>
      </c>
      <c r="Y16" s="101">
        <f>SUMIFS(gminy_26[2025],gminy_26[kod powiatu],$S16)</f>
        <v>97440</v>
      </c>
      <c r="Z16" s="101">
        <f>SUMIFS(gminy_26[2026],gminy_26[kod powiatu],$S16)</f>
        <v>125330</v>
      </c>
    </row>
    <row r="17" spans="1:26" x14ac:dyDescent="0.2">
      <c r="A17" s="1" t="s">
        <v>123</v>
      </c>
      <c r="B17" s="1" t="s">
        <v>124</v>
      </c>
      <c r="C17" s="1" t="str">
        <f>gminy_26[[#This Row],[kod gminy]]</f>
        <v>2603022</v>
      </c>
      <c r="D17" s="1" t="s">
        <v>64</v>
      </c>
      <c r="E17" s="1" t="str">
        <f>VLOOKUP(gminy_26[[#This Row],[kod powiatu]],powiaty_26[],katalogi!$B$1,FALSE)</f>
        <v>kazimierski</v>
      </c>
      <c r="F17" s="1" t="s">
        <v>60</v>
      </c>
      <c r="G17" s="1" t="str">
        <f>VLOOKUP(gminy_26[[#This Row],[kod strefy]],strefy_26[],2,FALSE)</f>
        <v>strefa świętokrzyska</v>
      </c>
      <c r="H17" s="35">
        <v>27910</v>
      </c>
      <c r="I17" s="35">
        <v>0</v>
      </c>
      <c r="J17" s="35">
        <v>770</v>
      </c>
      <c r="K17" s="35">
        <v>1430</v>
      </c>
      <c r="L17" s="35">
        <v>1620</v>
      </c>
      <c r="M17" s="35">
        <v>7420</v>
      </c>
      <c r="N17" s="35">
        <v>7420</v>
      </c>
      <c r="O17" s="38">
        <v>9250</v>
      </c>
      <c r="P17" s="38">
        <v>1</v>
      </c>
      <c r="Q17" s="38">
        <v>5</v>
      </c>
      <c r="S17" s="3" t="s">
        <v>75</v>
      </c>
      <c r="T17" s="101">
        <f>SUMIFS(gminy_26[2020],gminy_26[kod powiatu],$S17)</f>
        <v>0</v>
      </c>
      <c r="U17" s="101">
        <f>SUMIFS(gminy_26[2021],gminy_26[kod powiatu],$S17)</f>
        <v>37570</v>
      </c>
      <c r="V17" s="101">
        <f>SUMIFS(gminy_26[2022],gminy_26[kod powiatu],$S17)</f>
        <v>70440</v>
      </c>
      <c r="W17" s="101">
        <f>SUMIFS(gminy_26[2023],gminy_26[kod powiatu],$S17)</f>
        <v>79840</v>
      </c>
      <c r="X17" s="101">
        <f>SUMIFS(gminy_26[2024],gminy_26[kod powiatu],$S17)</f>
        <v>93920</v>
      </c>
      <c r="Y17" s="101">
        <f>SUMIFS(gminy_26[2025],gminy_26[kod powiatu],$S17)</f>
        <v>93920</v>
      </c>
      <c r="Z17" s="101">
        <f>SUMIFS(gminy_26[2026],gminy_26[kod powiatu],$S17)</f>
        <v>93920</v>
      </c>
    </row>
    <row r="18" spans="1:26" x14ac:dyDescent="0.2">
      <c r="A18" s="1" t="s">
        <v>125</v>
      </c>
      <c r="B18" s="1" t="s">
        <v>126</v>
      </c>
      <c r="C18" s="1" t="str">
        <f>gminy_26[[#This Row],[kod gminy]]</f>
        <v>2607043</v>
      </c>
      <c r="D18" s="1" t="s">
        <v>68</v>
      </c>
      <c r="E18" s="1" t="str">
        <f>VLOOKUP(gminy_26[[#This Row],[kod powiatu]],powiaty_26[],katalogi!$B$1,FALSE)</f>
        <v>ostrowiecki</v>
      </c>
      <c r="F18" s="1" t="s">
        <v>60</v>
      </c>
      <c r="G18" s="1" t="str">
        <f>VLOOKUP(gminy_26[[#This Row],[kod strefy]],strefy_26[],2,FALSE)</f>
        <v>strefa świętokrzyska</v>
      </c>
      <c r="H18" s="35">
        <v>69840</v>
      </c>
      <c r="I18" s="35">
        <v>0</v>
      </c>
      <c r="J18" s="35">
        <v>2970</v>
      </c>
      <c r="K18" s="35">
        <v>5570</v>
      </c>
      <c r="L18" s="35">
        <v>6310</v>
      </c>
      <c r="M18" s="35">
        <v>17240</v>
      </c>
      <c r="N18" s="35">
        <v>17240</v>
      </c>
      <c r="O18" s="38">
        <v>20510</v>
      </c>
      <c r="P18" s="38">
        <v>1</v>
      </c>
      <c r="Q18" s="38">
        <v>20</v>
      </c>
    </row>
    <row r="19" spans="1:26" x14ac:dyDescent="0.2">
      <c r="A19" s="1" t="s">
        <v>127</v>
      </c>
      <c r="B19" s="1" t="s">
        <v>128</v>
      </c>
      <c r="C19" s="1" t="str">
        <f>gminy_26[[#This Row],[kod gminy]]</f>
        <v>2604053</v>
      </c>
      <c r="D19" s="1" t="s">
        <v>65</v>
      </c>
      <c r="E19" s="1" t="str">
        <f>VLOOKUP(gminy_26[[#This Row],[kod powiatu]],powiaty_26[],katalogi!$B$1,FALSE)</f>
        <v>kielecki</v>
      </c>
      <c r="F19" s="1" t="s">
        <v>60</v>
      </c>
      <c r="G19" s="1" t="str">
        <f>VLOOKUP(gminy_26[[#This Row],[kod strefy]],strefy_26[],2,FALSE)</f>
        <v>strefa świętokrzyska</v>
      </c>
      <c r="H19" s="35">
        <v>176290</v>
      </c>
      <c r="I19" s="35">
        <v>0</v>
      </c>
      <c r="J19" s="35">
        <v>6880</v>
      </c>
      <c r="K19" s="35">
        <v>12900</v>
      </c>
      <c r="L19" s="35">
        <v>14610</v>
      </c>
      <c r="M19" s="35">
        <v>44290</v>
      </c>
      <c r="N19" s="35">
        <v>44290</v>
      </c>
      <c r="O19" s="38">
        <v>53320</v>
      </c>
      <c r="P19" s="38">
        <v>1</v>
      </c>
      <c r="Q19" s="38">
        <v>20</v>
      </c>
    </row>
    <row r="20" spans="1:26" x14ac:dyDescent="0.2">
      <c r="A20" s="1" t="s">
        <v>129</v>
      </c>
      <c r="B20" s="1" t="s">
        <v>130</v>
      </c>
      <c r="C20" s="1" t="str">
        <f>gminy_26[[#This Row],[kod gminy]]</f>
        <v>2609022</v>
      </c>
      <c r="D20" s="1" t="s">
        <v>70</v>
      </c>
      <c r="E20" s="1" t="str">
        <f>VLOOKUP(gminy_26[[#This Row],[kod powiatu]],powiaty_26[],katalogi!$B$1,FALSE)</f>
        <v>sandomierski</v>
      </c>
      <c r="F20" s="1" t="s">
        <v>60</v>
      </c>
      <c r="G20" s="1" t="str">
        <f>VLOOKUP(gminy_26[[#This Row],[kod strefy]],strefy_26[],2,FALSE)</f>
        <v>strefa świętokrzyska</v>
      </c>
      <c r="H20" s="35">
        <v>46680</v>
      </c>
      <c r="I20" s="35">
        <v>0</v>
      </c>
      <c r="J20" s="35">
        <v>1590</v>
      </c>
      <c r="K20" s="35">
        <v>2970</v>
      </c>
      <c r="L20" s="35">
        <v>3370</v>
      </c>
      <c r="M20" s="35">
        <v>12020</v>
      </c>
      <c r="N20" s="35">
        <v>12020</v>
      </c>
      <c r="O20" s="38">
        <v>14710</v>
      </c>
      <c r="P20" s="38">
        <v>1</v>
      </c>
      <c r="Q20" s="38">
        <v>5</v>
      </c>
    </row>
    <row r="21" spans="1:26" x14ac:dyDescent="0.2">
      <c r="A21" s="1" t="s">
        <v>131</v>
      </c>
      <c r="B21" s="1" t="s">
        <v>132</v>
      </c>
      <c r="C21" s="1" t="str">
        <f>gminy_26[[#This Row],[kod gminy]]</f>
        <v>2608013</v>
      </c>
      <c r="D21" s="1" t="s">
        <v>69</v>
      </c>
      <c r="E21" s="1" t="str">
        <f>VLOOKUP(gminy_26[[#This Row],[kod powiatu]],powiaty_26[],katalogi!$B$1,FALSE)</f>
        <v>pińczowski</v>
      </c>
      <c r="F21" s="1" t="s">
        <v>60</v>
      </c>
      <c r="G21" s="1" t="str">
        <f>VLOOKUP(gminy_26[[#This Row],[kod strefy]],strefy_26[],2,FALSE)</f>
        <v>strefa świętokrzyska</v>
      </c>
      <c r="H21" s="35">
        <v>50980</v>
      </c>
      <c r="I21" s="35">
        <v>0</v>
      </c>
      <c r="J21" s="35">
        <v>550</v>
      </c>
      <c r="K21" s="35">
        <v>1020</v>
      </c>
      <c r="L21" s="35">
        <v>1160</v>
      </c>
      <c r="M21" s="35">
        <v>14610</v>
      </c>
      <c r="N21" s="35">
        <v>14610</v>
      </c>
      <c r="O21" s="38">
        <v>19030</v>
      </c>
      <c r="P21" s="38">
        <v>1</v>
      </c>
      <c r="Q21" s="38">
        <v>20</v>
      </c>
    </row>
    <row r="22" spans="1:26" x14ac:dyDescent="0.2">
      <c r="A22" s="1" t="s">
        <v>133</v>
      </c>
      <c r="B22" s="1" t="s">
        <v>134</v>
      </c>
      <c r="C22" s="1" t="str">
        <f>gminy_26[[#This Row],[kod gminy]]</f>
        <v>2605012</v>
      </c>
      <c r="D22" s="1" t="s">
        <v>66</v>
      </c>
      <c r="E22" s="1" t="str">
        <f>VLOOKUP(gminy_26[[#This Row],[kod powiatu]],powiaty_26[],katalogi!$B$1,FALSE)</f>
        <v>konecki</v>
      </c>
      <c r="F22" s="1" t="s">
        <v>60</v>
      </c>
      <c r="G22" s="1" t="str">
        <f>VLOOKUP(gminy_26[[#This Row],[kod strefy]],strefy_26[],2,FALSE)</f>
        <v>strefa świętokrzyska</v>
      </c>
      <c r="H22" s="35">
        <v>44320</v>
      </c>
      <c r="I22" s="35">
        <v>0</v>
      </c>
      <c r="J22" s="35">
        <v>1310</v>
      </c>
      <c r="K22" s="35">
        <v>2450</v>
      </c>
      <c r="L22" s="35">
        <v>2780</v>
      </c>
      <c r="M22" s="35">
        <v>11660</v>
      </c>
      <c r="N22" s="35">
        <v>11660</v>
      </c>
      <c r="O22" s="38">
        <v>14460</v>
      </c>
      <c r="P22" s="38">
        <v>1</v>
      </c>
      <c r="Q22" s="38">
        <v>5</v>
      </c>
    </row>
    <row r="23" spans="1:26" x14ac:dyDescent="0.2">
      <c r="A23" s="1" t="s">
        <v>135</v>
      </c>
      <c r="B23" s="1" t="s">
        <v>136</v>
      </c>
      <c r="C23" s="1" t="str">
        <f>gminy_26[[#This Row],[kod gminy]]</f>
        <v>2601022</v>
      </c>
      <c r="D23" s="1" t="s">
        <v>62</v>
      </c>
      <c r="E23" s="1" t="str">
        <f>VLOOKUP(gminy_26[[#This Row],[kod powiatu]],powiaty_26[],katalogi!$B$1,FALSE)</f>
        <v>buski</v>
      </c>
      <c r="F23" s="1" t="s">
        <v>60</v>
      </c>
      <c r="G23" s="1" t="str">
        <f>VLOOKUP(gminy_26[[#This Row],[kod strefy]],strefy_26[],2,FALSE)</f>
        <v>strefa świętokrzyska</v>
      </c>
      <c r="H23" s="35">
        <v>47190</v>
      </c>
      <c r="I23" s="35">
        <v>0</v>
      </c>
      <c r="J23" s="35">
        <v>1980</v>
      </c>
      <c r="K23" s="35">
        <v>3710</v>
      </c>
      <c r="L23" s="35">
        <v>4210</v>
      </c>
      <c r="M23" s="35">
        <v>11680</v>
      </c>
      <c r="N23" s="35">
        <v>11680</v>
      </c>
      <c r="O23" s="38">
        <v>13930</v>
      </c>
      <c r="P23" s="38">
        <v>1</v>
      </c>
      <c r="Q23" s="38">
        <v>5</v>
      </c>
    </row>
    <row r="24" spans="1:26" x14ac:dyDescent="0.2">
      <c r="A24" s="1" t="s">
        <v>137</v>
      </c>
      <c r="B24" s="1" t="s">
        <v>138</v>
      </c>
      <c r="C24" s="1" t="str">
        <f>gminy_26[[#This Row],[kod gminy]]</f>
        <v>2605022</v>
      </c>
      <c r="D24" s="1" t="s">
        <v>66</v>
      </c>
      <c r="E24" s="1" t="str">
        <f>VLOOKUP(gminy_26[[#This Row],[kod powiatu]],powiaty_26[],katalogi!$B$1,FALSE)</f>
        <v>konecki</v>
      </c>
      <c r="F24" s="1" t="s">
        <v>60</v>
      </c>
      <c r="G24" s="1" t="str">
        <f>VLOOKUP(gminy_26[[#This Row],[kod strefy]],strefy_26[],2,FALSE)</f>
        <v>strefa świętokrzyska</v>
      </c>
      <c r="H24" s="35">
        <v>43750</v>
      </c>
      <c r="I24" s="35">
        <v>0</v>
      </c>
      <c r="J24" s="35">
        <v>1310</v>
      </c>
      <c r="K24" s="35">
        <v>2450</v>
      </c>
      <c r="L24" s="35">
        <v>2780</v>
      </c>
      <c r="M24" s="35">
        <v>11490</v>
      </c>
      <c r="N24" s="35">
        <v>11490</v>
      </c>
      <c r="O24" s="38">
        <v>14230</v>
      </c>
      <c r="P24" s="38">
        <v>1</v>
      </c>
      <c r="Q24" s="38">
        <v>20</v>
      </c>
    </row>
    <row r="25" spans="1:26" x14ac:dyDescent="0.2">
      <c r="A25" s="1" t="s">
        <v>139</v>
      </c>
      <c r="B25" s="1" t="s">
        <v>140</v>
      </c>
      <c r="C25" s="1" t="str">
        <f>gminy_26[[#This Row],[kod gminy]]</f>
        <v>2604062</v>
      </c>
      <c r="D25" s="1" t="s">
        <v>65</v>
      </c>
      <c r="E25" s="1" t="str">
        <f>VLOOKUP(gminy_26[[#This Row],[kod powiatu]],powiaty_26[],katalogi!$B$1,FALSE)</f>
        <v>kielecki</v>
      </c>
      <c r="F25" s="1" t="s">
        <v>60</v>
      </c>
      <c r="G25" s="1" t="str">
        <f>VLOOKUP(gminy_26[[#This Row],[kod strefy]],strefy_26[],2,FALSE)</f>
        <v>strefa świętokrzyska</v>
      </c>
      <c r="H25" s="35">
        <v>169880</v>
      </c>
      <c r="I25" s="35">
        <v>0</v>
      </c>
      <c r="J25" s="35">
        <v>6720</v>
      </c>
      <c r="K25" s="35">
        <v>12590</v>
      </c>
      <c r="L25" s="35">
        <v>14260</v>
      </c>
      <c r="M25" s="35">
        <v>42570</v>
      </c>
      <c r="N25" s="35">
        <v>42570</v>
      </c>
      <c r="O25" s="38">
        <v>51170</v>
      </c>
      <c r="P25" s="38">
        <v>1</v>
      </c>
      <c r="Q25" s="38">
        <v>5</v>
      </c>
    </row>
    <row r="26" spans="1:26" x14ac:dyDescent="0.2">
      <c r="A26" s="1" t="s">
        <v>141</v>
      </c>
      <c r="B26" s="1" t="s">
        <v>142</v>
      </c>
      <c r="C26" s="1" t="str">
        <f>gminy_26[[#This Row],[kod gminy]]</f>
        <v>2602012</v>
      </c>
      <c r="D26" s="1" t="s">
        <v>63</v>
      </c>
      <c r="E26" s="1" t="str">
        <f>VLOOKUP(gminy_26[[#This Row],[kod powiatu]],powiaty_26[],katalogi!$B$1,FALSE)</f>
        <v>jędrzejowski</v>
      </c>
      <c r="F26" s="1" t="s">
        <v>60</v>
      </c>
      <c r="G26" s="1" t="str">
        <f>VLOOKUP(gminy_26[[#This Row],[kod strefy]],strefy_26[],2,FALSE)</f>
        <v>strefa świętokrzyska</v>
      </c>
      <c r="H26" s="35">
        <v>47020</v>
      </c>
      <c r="I26" s="35">
        <v>0</v>
      </c>
      <c r="J26" s="35">
        <v>1960</v>
      </c>
      <c r="K26" s="35">
        <v>3670</v>
      </c>
      <c r="L26" s="35">
        <v>4160</v>
      </c>
      <c r="M26" s="35">
        <v>11660</v>
      </c>
      <c r="N26" s="35">
        <v>11660</v>
      </c>
      <c r="O26" s="38">
        <v>13910</v>
      </c>
      <c r="P26" s="38">
        <v>1</v>
      </c>
      <c r="Q26" s="38">
        <v>5</v>
      </c>
    </row>
    <row r="27" spans="1:26" x14ac:dyDescent="0.2">
      <c r="A27" s="1" t="s">
        <v>143</v>
      </c>
      <c r="B27" s="1" t="s">
        <v>144</v>
      </c>
      <c r="C27" s="1" t="str">
        <f>gminy_26[[#This Row],[kod gminy]]</f>
        <v>2606022</v>
      </c>
      <c r="D27" s="1" t="s">
        <v>67</v>
      </c>
      <c r="E27" s="1" t="str">
        <f>VLOOKUP(gminy_26[[#This Row],[kod powiatu]],powiaty_26[],katalogi!$B$1,FALSE)</f>
        <v>opatowski</v>
      </c>
      <c r="F27" s="1" t="s">
        <v>60</v>
      </c>
      <c r="G27" s="1" t="str">
        <f>VLOOKUP(gminy_26[[#This Row],[kod strefy]],strefy_26[],2,FALSE)</f>
        <v>strefa świętokrzyska</v>
      </c>
      <c r="H27" s="35">
        <v>46870</v>
      </c>
      <c r="I27" s="35">
        <v>0</v>
      </c>
      <c r="J27" s="35">
        <v>410</v>
      </c>
      <c r="K27" s="35">
        <v>760</v>
      </c>
      <c r="L27" s="35">
        <v>870</v>
      </c>
      <c r="M27" s="35">
        <v>13550</v>
      </c>
      <c r="N27" s="35">
        <v>13550</v>
      </c>
      <c r="O27" s="38">
        <v>17730</v>
      </c>
      <c r="P27" s="38">
        <v>1</v>
      </c>
      <c r="Q27" s="38">
        <v>20</v>
      </c>
    </row>
    <row r="28" spans="1:26" x14ac:dyDescent="0.2">
      <c r="A28" s="1" t="s">
        <v>145</v>
      </c>
      <c r="B28" s="1" t="s">
        <v>146</v>
      </c>
      <c r="C28" s="1" t="str">
        <f>gminy_26[[#This Row],[kod gminy]]</f>
        <v>2602023</v>
      </c>
      <c r="D28" s="1" t="s">
        <v>63</v>
      </c>
      <c r="E28" s="1" t="str">
        <f>VLOOKUP(gminy_26[[#This Row],[kod powiatu]],powiaty_26[],katalogi!$B$1,FALSE)</f>
        <v>jędrzejowski</v>
      </c>
      <c r="F28" s="1" t="s">
        <v>60</v>
      </c>
      <c r="G28" s="1" t="str">
        <f>VLOOKUP(gminy_26[[#This Row],[kod strefy]],strefy_26[],2,FALSE)</f>
        <v>strefa świętokrzyska</v>
      </c>
      <c r="H28" s="35">
        <v>234240</v>
      </c>
      <c r="I28" s="35">
        <v>0</v>
      </c>
      <c r="J28" s="35">
        <v>9980</v>
      </c>
      <c r="K28" s="35">
        <v>18700</v>
      </c>
      <c r="L28" s="35">
        <v>21200</v>
      </c>
      <c r="M28" s="35">
        <v>57800</v>
      </c>
      <c r="N28" s="35">
        <v>57800</v>
      </c>
      <c r="O28" s="38">
        <v>68760</v>
      </c>
      <c r="P28" s="38">
        <v>1</v>
      </c>
      <c r="Q28" s="38">
        <v>20</v>
      </c>
    </row>
    <row r="29" spans="1:26" x14ac:dyDescent="0.2">
      <c r="A29" s="1" t="s">
        <v>147</v>
      </c>
      <c r="B29" s="1" t="s">
        <v>148</v>
      </c>
      <c r="C29" s="1" t="str">
        <f>gminy_26[[#This Row],[kod gminy]]</f>
        <v>2603033</v>
      </c>
      <c r="D29" s="1" t="s">
        <v>64</v>
      </c>
      <c r="E29" s="1" t="str">
        <f>VLOOKUP(gminy_26[[#This Row],[kod powiatu]],powiaty_26[],katalogi!$B$1,FALSE)</f>
        <v>kazimierski</v>
      </c>
      <c r="F29" s="1" t="s">
        <v>60</v>
      </c>
      <c r="G29" s="1" t="str">
        <f>VLOOKUP(gminy_26[[#This Row],[kod strefy]],strefy_26[],2,FALSE)</f>
        <v>strefa świętokrzyska</v>
      </c>
      <c r="H29" s="35">
        <v>114160</v>
      </c>
      <c r="I29" s="35">
        <v>0</v>
      </c>
      <c r="J29" s="35">
        <v>3240</v>
      </c>
      <c r="K29" s="35">
        <v>6070</v>
      </c>
      <c r="L29" s="35">
        <v>6880</v>
      </c>
      <c r="M29" s="35">
        <v>30200</v>
      </c>
      <c r="N29" s="35">
        <v>30200</v>
      </c>
      <c r="O29" s="38">
        <v>37570</v>
      </c>
      <c r="P29" s="38">
        <v>1</v>
      </c>
      <c r="Q29" s="38">
        <v>20</v>
      </c>
    </row>
    <row r="30" spans="1:26" x14ac:dyDescent="0.2">
      <c r="A30" s="1" t="s">
        <v>149</v>
      </c>
      <c r="B30" s="1" t="s">
        <v>150</v>
      </c>
      <c r="C30" s="1" t="str">
        <f>gminy_26[[#This Row],[kod gminy]]</f>
        <v>2608022</v>
      </c>
      <c r="D30" s="1" t="s">
        <v>69</v>
      </c>
      <c r="E30" s="1" t="str">
        <f>VLOOKUP(gminy_26[[#This Row],[kod powiatu]],powiaty_26[],katalogi!$B$1,FALSE)</f>
        <v>pińczowski</v>
      </c>
      <c r="F30" s="1" t="s">
        <v>60</v>
      </c>
      <c r="G30" s="1" t="str">
        <f>VLOOKUP(gminy_26[[#This Row],[kod strefy]],strefy_26[],2,FALSE)</f>
        <v>strefa świętokrzyska</v>
      </c>
      <c r="H30" s="35">
        <v>46660</v>
      </c>
      <c r="I30" s="35">
        <v>0</v>
      </c>
      <c r="J30" s="35">
        <v>540</v>
      </c>
      <c r="K30" s="35">
        <v>1000</v>
      </c>
      <c r="L30" s="35">
        <v>1130</v>
      </c>
      <c r="M30" s="35">
        <v>13330</v>
      </c>
      <c r="N30" s="35">
        <v>13330</v>
      </c>
      <c r="O30" s="38">
        <v>17330</v>
      </c>
      <c r="P30" s="38">
        <v>1</v>
      </c>
      <c r="Q30" s="38">
        <v>5</v>
      </c>
    </row>
    <row r="31" spans="1:26" x14ac:dyDescent="0.2">
      <c r="A31" s="1" t="s">
        <v>151</v>
      </c>
      <c r="B31" s="1" t="s">
        <v>152</v>
      </c>
      <c r="C31" s="1" t="str">
        <f>gminy_26[[#This Row],[kod gminy]]</f>
        <v>2609032</v>
      </c>
      <c r="D31" s="1" t="s">
        <v>70</v>
      </c>
      <c r="E31" s="1" t="str">
        <f>VLOOKUP(gminy_26[[#This Row],[kod powiatu]],powiaty_26[],katalogi!$B$1,FALSE)</f>
        <v>sandomierski</v>
      </c>
      <c r="F31" s="1" t="s">
        <v>60</v>
      </c>
      <c r="G31" s="1" t="str">
        <f>VLOOKUP(gminy_26[[#This Row],[kod strefy]],strefy_26[],2,FALSE)</f>
        <v>strefa świętokrzyska</v>
      </c>
      <c r="H31" s="35">
        <v>49370</v>
      </c>
      <c r="I31" s="35">
        <v>0</v>
      </c>
      <c r="J31" s="35">
        <v>1660</v>
      </c>
      <c r="K31" s="35">
        <v>3100</v>
      </c>
      <c r="L31" s="35">
        <v>3520</v>
      </c>
      <c r="M31" s="35">
        <v>12740</v>
      </c>
      <c r="N31" s="35">
        <v>12740</v>
      </c>
      <c r="O31" s="38">
        <v>15610</v>
      </c>
      <c r="P31" s="38">
        <v>1</v>
      </c>
      <c r="Q31" s="38">
        <v>20</v>
      </c>
    </row>
    <row r="32" spans="1:26" x14ac:dyDescent="0.2">
      <c r="A32" s="1" t="s">
        <v>153</v>
      </c>
      <c r="B32" s="1" t="s">
        <v>154</v>
      </c>
      <c r="C32" s="1" t="str">
        <f>gminy_26[[#This Row],[kod gminy]]</f>
        <v>2613012</v>
      </c>
      <c r="D32" s="1" t="s">
        <v>74</v>
      </c>
      <c r="E32" s="1" t="str">
        <f>VLOOKUP(gminy_26[[#This Row],[kod powiatu]],powiaty_26[],katalogi!$B$1,FALSE)</f>
        <v>włoszczowski</v>
      </c>
      <c r="F32" s="1" t="s">
        <v>60</v>
      </c>
      <c r="G32" s="1" t="str">
        <f>VLOOKUP(gminy_26[[#This Row],[kod strefy]],strefy_26[],2,FALSE)</f>
        <v>strefa świętokrzyska</v>
      </c>
      <c r="H32" s="35">
        <v>42330</v>
      </c>
      <c r="I32" s="35">
        <v>0</v>
      </c>
      <c r="J32" s="35">
        <v>690</v>
      </c>
      <c r="K32" s="35">
        <v>1290</v>
      </c>
      <c r="L32" s="35">
        <v>1460</v>
      </c>
      <c r="M32" s="35">
        <v>11840</v>
      </c>
      <c r="N32" s="35">
        <v>11840</v>
      </c>
      <c r="O32" s="38">
        <v>15210</v>
      </c>
      <c r="P32" s="38">
        <v>1</v>
      </c>
      <c r="Q32" s="38">
        <v>5</v>
      </c>
    </row>
    <row r="33" spans="1:17" x14ac:dyDescent="0.2">
      <c r="A33" s="1" t="s">
        <v>155</v>
      </c>
      <c r="B33" s="1" t="s">
        <v>156</v>
      </c>
      <c r="C33" s="1" t="str">
        <f>gminy_26[[#This Row],[kod gminy]]</f>
        <v>2605033</v>
      </c>
      <c r="D33" s="1" t="s">
        <v>66</v>
      </c>
      <c r="E33" s="1" t="str">
        <f>VLOOKUP(gminy_26[[#This Row],[kod powiatu]],powiaty_26[],katalogi!$B$1,FALSE)</f>
        <v>konecki</v>
      </c>
      <c r="F33" s="1" t="s">
        <v>60</v>
      </c>
      <c r="G33" s="1" t="str">
        <f>VLOOKUP(gminy_26[[#This Row],[kod strefy]],strefy_26[],2,FALSE)</f>
        <v>strefa świętokrzyska</v>
      </c>
      <c r="H33" s="35">
        <v>265920</v>
      </c>
      <c r="I33" s="35">
        <v>0</v>
      </c>
      <c r="J33" s="35">
        <v>8060</v>
      </c>
      <c r="K33" s="35">
        <v>15100</v>
      </c>
      <c r="L33" s="35">
        <v>17110</v>
      </c>
      <c r="M33" s="35">
        <v>69710</v>
      </c>
      <c r="N33" s="35">
        <v>69710</v>
      </c>
      <c r="O33" s="38">
        <v>86230</v>
      </c>
      <c r="P33" s="38">
        <v>1</v>
      </c>
      <c r="Q33" s="38">
        <v>20</v>
      </c>
    </row>
    <row r="34" spans="1:17" x14ac:dyDescent="0.2">
      <c r="A34" s="1" t="s">
        <v>157</v>
      </c>
      <c r="B34" s="1" t="s">
        <v>158</v>
      </c>
      <c r="C34" s="1" t="str">
        <f>gminy_26[[#This Row],[kod gminy]]</f>
        <v>2609043</v>
      </c>
      <c r="D34" s="1" t="s">
        <v>70</v>
      </c>
      <c r="E34" s="1" t="str">
        <f>VLOOKUP(gminy_26[[#This Row],[kod powiatu]],powiaty_26[],katalogi!$B$1,FALSE)</f>
        <v>sandomierski</v>
      </c>
      <c r="F34" s="1" t="s">
        <v>60</v>
      </c>
      <c r="G34" s="1" t="str">
        <f>VLOOKUP(gminy_26[[#This Row],[kod strefy]],strefy_26[],2,FALSE)</f>
        <v>strefa świętokrzyska</v>
      </c>
      <c r="H34" s="35">
        <v>35130</v>
      </c>
      <c r="I34" s="35">
        <v>0</v>
      </c>
      <c r="J34" s="35">
        <v>1170</v>
      </c>
      <c r="K34" s="35">
        <v>2190</v>
      </c>
      <c r="L34" s="35">
        <v>2480</v>
      </c>
      <c r="M34" s="35">
        <v>9080</v>
      </c>
      <c r="N34" s="35">
        <v>9080</v>
      </c>
      <c r="O34" s="38">
        <v>11130</v>
      </c>
      <c r="P34" s="38">
        <v>1</v>
      </c>
      <c r="Q34" s="38">
        <v>20</v>
      </c>
    </row>
    <row r="35" spans="1:17" x14ac:dyDescent="0.2">
      <c r="A35" s="1" t="s">
        <v>159</v>
      </c>
      <c r="B35" s="1" t="s">
        <v>160</v>
      </c>
      <c r="C35" s="1" t="str">
        <f>gminy_26[[#This Row],[kod gminy]]</f>
        <v>2613022</v>
      </c>
      <c r="D35" s="1" t="s">
        <v>74</v>
      </c>
      <c r="E35" s="1" t="str">
        <f>VLOOKUP(gminy_26[[#This Row],[kod powiatu]],powiaty_26[],katalogi!$B$1,FALSE)</f>
        <v>włoszczowski</v>
      </c>
      <c r="F35" s="1" t="s">
        <v>60</v>
      </c>
      <c r="G35" s="1" t="str">
        <f>VLOOKUP(gminy_26[[#This Row],[kod strefy]],strefy_26[],2,FALSE)</f>
        <v>strefa świętokrzyska</v>
      </c>
      <c r="H35" s="35">
        <v>87860</v>
      </c>
      <c r="I35" s="35">
        <v>0</v>
      </c>
      <c r="J35" s="35">
        <v>1480</v>
      </c>
      <c r="K35" s="35">
        <v>2770</v>
      </c>
      <c r="L35" s="35">
        <v>3140</v>
      </c>
      <c r="M35" s="35">
        <v>24510</v>
      </c>
      <c r="N35" s="35">
        <v>24510</v>
      </c>
      <c r="O35" s="38">
        <v>31450</v>
      </c>
      <c r="P35" s="38">
        <v>1</v>
      </c>
      <c r="Q35" s="38">
        <v>5</v>
      </c>
    </row>
    <row r="36" spans="1:17" x14ac:dyDescent="0.2">
      <c r="A36" s="1" t="s">
        <v>161</v>
      </c>
      <c r="B36" s="1" t="s">
        <v>162</v>
      </c>
      <c r="C36" s="1" t="str">
        <f>gminy_26[[#This Row],[kod gminy]]</f>
        <v>2607053</v>
      </c>
      <c r="D36" s="1" t="s">
        <v>68</v>
      </c>
      <c r="E36" s="1" t="str">
        <f>VLOOKUP(gminy_26[[#This Row],[kod powiatu]],powiaty_26[],katalogi!$B$1,FALSE)</f>
        <v>ostrowiecki</v>
      </c>
      <c r="F36" s="1" t="s">
        <v>60</v>
      </c>
      <c r="G36" s="1" t="str">
        <f>VLOOKUP(gminy_26[[#This Row],[kod strefy]],strefy_26[],2,FALSE)</f>
        <v>strefa świętokrzyska</v>
      </c>
      <c r="H36" s="35">
        <v>95090</v>
      </c>
      <c r="I36" s="35">
        <v>0</v>
      </c>
      <c r="J36" s="35">
        <v>4080</v>
      </c>
      <c r="K36" s="35">
        <v>7650</v>
      </c>
      <c r="L36" s="35">
        <v>8670</v>
      </c>
      <c r="M36" s="35">
        <v>23430</v>
      </c>
      <c r="N36" s="35">
        <v>23430</v>
      </c>
      <c r="O36" s="38">
        <v>27830</v>
      </c>
      <c r="P36" s="38">
        <v>1</v>
      </c>
      <c r="Q36" s="38">
        <v>20</v>
      </c>
    </row>
    <row r="37" spans="1:17" x14ac:dyDescent="0.2">
      <c r="A37" s="1" t="s">
        <v>163</v>
      </c>
      <c r="B37" s="1" t="s">
        <v>164</v>
      </c>
      <c r="C37" s="1" t="str">
        <f>gminy_26[[#This Row],[kod gminy]]</f>
        <v>2606032</v>
      </c>
      <c r="D37" s="1" t="s">
        <v>67</v>
      </c>
      <c r="E37" s="1" t="str">
        <f>VLOOKUP(gminy_26[[#This Row],[kod powiatu]],powiaty_26[],katalogi!$B$1,FALSE)</f>
        <v>opatowski</v>
      </c>
      <c r="F37" s="1" t="s">
        <v>60</v>
      </c>
      <c r="G37" s="1" t="str">
        <f>VLOOKUP(gminy_26[[#This Row],[kod strefy]],strefy_26[],2,FALSE)</f>
        <v>strefa świętokrzyska</v>
      </c>
      <c r="H37" s="35">
        <v>31150</v>
      </c>
      <c r="I37" s="35">
        <v>0</v>
      </c>
      <c r="J37" s="35">
        <v>270</v>
      </c>
      <c r="K37" s="35">
        <v>500</v>
      </c>
      <c r="L37" s="35">
        <v>570</v>
      </c>
      <c r="M37" s="35">
        <v>9010</v>
      </c>
      <c r="N37" s="35">
        <v>9010</v>
      </c>
      <c r="O37" s="38">
        <v>11790</v>
      </c>
      <c r="P37" s="38">
        <v>1</v>
      </c>
      <c r="Q37" s="38">
        <v>5</v>
      </c>
    </row>
    <row r="38" spans="1:17" x14ac:dyDescent="0.2">
      <c r="A38" s="1" t="s">
        <v>165</v>
      </c>
      <c r="B38" s="1" t="s">
        <v>166</v>
      </c>
      <c r="C38" s="1" t="str">
        <f>gminy_26[[#This Row],[kod gminy]]</f>
        <v>2604073</v>
      </c>
      <c r="D38" s="1" t="s">
        <v>65</v>
      </c>
      <c r="E38" s="1" t="str">
        <f>VLOOKUP(gminy_26[[#This Row],[kod powiatu]],powiaty_26[],katalogi!$B$1,FALSE)</f>
        <v>kielecki</v>
      </c>
      <c r="F38" s="1" t="s">
        <v>60</v>
      </c>
      <c r="G38" s="1" t="str">
        <f>VLOOKUP(gminy_26[[#This Row],[kod strefy]],strefy_26[],2,FALSE)</f>
        <v>strefa świętokrzyska</v>
      </c>
      <c r="H38" s="35">
        <v>82040</v>
      </c>
      <c r="I38" s="35">
        <v>0</v>
      </c>
      <c r="J38" s="35">
        <v>3270</v>
      </c>
      <c r="K38" s="35">
        <v>6120</v>
      </c>
      <c r="L38" s="35">
        <v>6940</v>
      </c>
      <c r="M38" s="35">
        <v>20530</v>
      </c>
      <c r="N38" s="35">
        <v>20530</v>
      </c>
      <c r="O38" s="38">
        <v>24650</v>
      </c>
      <c r="P38" s="38">
        <v>1</v>
      </c>
      <c r="Q38" s="38">
        <v>20</v>
      </c>
    </row>
    <row r="39" spans="1:17" x14ac:dyDescent="0.2">
      <c r="A39" s="1" t="s">
        <v>167</v>
      </c>
      <c r="B39" s="1" t="s">
        <v>168</v>
      </c>
      <c r="C39" s="1" t="str">
        <f>gminy_26[[#This Row],[kod gminy]]</f>
        <v>2610032</v>
      </c>
      <c r="D39" s="1" t="s">
        <v>71</v>
      </c>
      <c r="E39" s="1" t="str">
        <f>VLOOKUP(gminy_26[[#This Row],[kod powiatu]],powiaty_26[],katalogi!$B$1,FALSE)</f>
        <v>skarżyski</v>
      </c>
      <c r="F39" s="1" t="s">
        <v>60</v>
      </c>
      <c r="G39" s="1" t="str">
        <f>VLOOKUP(gminy_26[[#This Row],[kod strefy]],strefy_26[],2,FALSE)</f>
        <v>strefa świętokrzyska</v>
      </c>
      <c r="H39" s="35">
        <v>57850</v>
      </c>
      <c r="I39" s="35">
        <v>0</v>
      </c>
      <c r="J39" s="35">
        <v>1520</v>
      </c>
      <c r="K39" s="35">
        <v>2840</v>
      </c>
      <c r="L39" s="35">
        <v>3220</v>
      </c>
      <c r="M39" s="35">
        <v>15460</v>
      </c>
      <c r="N39" s="35">
        <v>15460</v>
      </c>
      <c r="O39" s="38">
        <v>19350</v>
      </c>
      <c r="P39" s="38">
        <v>1</v>
      </c>
      <c r="Q39" s="38">
        <v>5</v>
      </c>
    </row>
    <row r="40" spans="1:17" x14ac:dyDescent="0.2">
      <c r="A40" s="1" t="s">
        <v>169</v>
      </c>
      <c r="B40" s="1" t="s">
        <v>170</v>
      </c>
      <c r="C40" s="1" t="str">
        <f>gminy_26[[#This Row],[kod gminy]]</f>
        <v>2609052</v>
      </c>
      <c r="D40" s="1" t="s">
        <v>70</v>
      </c>
      <c r="E40" s="1" t="str">
        <f>VLOOKUP(gminy_26[[#This Row],[kod powiatu]],powiaty_26[],katalogi!$B$1,FALSE)</f>
        <v>sandomierski</v>
      </c>
      <c r="F40" s="1" t="s">
        <v>60</v>
      </c>
      <c r="G40" s="1" t="str">
        <f>VLOOKUP(gminy_26[[#This Row],[kod strefy]],strefy_26[],2,FALSE)</f>
        <v>strefa świętokrzyska</v>
      </c>
      <c r="H40" s="35">
        <v>43970</v>
      </c>
      <c r="I40" s="35">
        <v>0</v>
      </c>
      <c r="J40" s="35">
        <v>1480</v>
      </c>
      <c r="K40" s="35">
        <v>2760</v>
      </c>
      <c r="L40" s="35">
        <v>3130</v>
      </c>
      <c r="M40" s="35">
        <v>11350</v>
      </c>
      <c r="N40" s="35">
        <v>11350</v>
      </c>
      <c r="O40" s="38">
        <v>13900</v>
      </c>
      <c r="P40" s="38">
        <v>1</v>
      </c>
      <c r="Q40" s="38">
        <v>5</v>
      </c>
    </row>
    <row r="41" spans="1:17" x14ac:dyDescent="0.2">
      <c r="A41" s="1" t="s">
        <v>171</v>
      </c>
      <c r="B41" s="1" t="s">
        <v>172</v>
      </c>
      <c r="C41" s="1" t="str">
        <f>gminy_26[[#This Row],[kod gminy]]</f>
        <v>2604082</v>
      </c>
      <c r="D41" s="1" t="s">
        <v>65</v>
      </c>
      <c r="E41" s="1" t="str">
        <f>VLOOKUP(gminy_26[[#This Row],[kod powiatu]],powiaty_26[],katalogi!$B$1,FALSE)</f>
        <v>kielecki</v>
      </c>
      <c r="F41" s="1" t="s">
        <v>60</v>
      </c>
      <c r="G41" s="1" t="str">
        <f>VLOOKUP(gminy_26[[#This Row],[kod strefy]],strefy_26[],2,FALSE)</f>
        <v>strefa świętokrzyska</v>
      </c>
      <c r="H41" s="35">
        <v>107740</v>
      </c>
      <c r="I41" s="35">
        <v>0</v>
      </c>
      <c r="J41" s="35">
        <v>4300</v>
      </c>
      <c r="K41" s="35">
        <v>8060</v>
      </c>
      <c r="L41" s="35">
        <v>9130</v>
      </c>
      <c r="M41" s="35">
        <v>26950</v>
      </c>
      <c r="N41" s="35">
        <v>26950</v>
      </c>
      <c r="O41" s="38">
        <v>32350</v>
      </c>
      <c r="P41" s="38">
        <v>1</v>
      </c>
      <c r="Q41" s="38">
        <v>20</v>
      </c>
    </row>
    <row r="42" spans="1:17" x14ac:dyDescent="0.2">
      <c r="A42" s="1" t="s">
        <v>173</v>
      </c>
      <c r="B42" s="1" t="s">
        <v>174</v>
      </c>
      <c r="C42" s="1" t="str">
        <f>gminy_26[[#This Row],[kod gminy]]</f>
        <v>2612022</v>
      </c>
      <c r="D42" s="1" t="s">
        <v>73</v>
      </c>
      <c r="E42" s="1" t="str">
        <f>VLOOKUP(gminy_26[[#This Row],[kod powiatu]],powiaty_26[],katalogi!$B$1,FALSE)</f>
        <v>staszowski</v>
      </c>
      <c r="F42" s="1" t="s">
        <v>60</v>
      </c>
      <c r="G42" s="1" t="str">
        <f>VLOOKUP(gminy_26[[#This Row],[kod strefy]],strefy_26[],2,FALSE)</f>
        <v>strefa świętokrzyska</v>
      </c>
      <c r="H42" s="35">
        <v>41970</v>
      </c>
      <c r="I42" s="35">
        <v>0</v>
      </c>
      <c r="J42" s="35">
        <v>2440</v>
      </c>
      <c r="K42" s="35">
        <v>4580</v>
      </c>
      <c r="L42" s="35">
        <v>5180</v>
      </c>
      <c r="M42" s="35">
        <v>9540</v>
      </c>
      <c r="N42" s="35">
        <v>9540</v>
      </c>
      <c r="O42" s="38">
        <v>10690</v>
      </c>
      <c r="P42" s="38">
        <v>1</v>
      </c>
      <c r="Q42" s="38">
        <v>5</v>
      </c>
    </row>
    <row r="43" spans="1:17" x14ac:dyDescent="0.2">
      <c r="A43" s="1" t="s">
        <v>175</v>
      </c>
      <c r="B43" s="1" t="s">
        <v>176</v>
      </c>
      <c r="C43" s="1" t="str">
        <f>gminy_26[[#This Row],[kod gminy]]</f>
        <v>2602033</v>
      </c>
      <c r="D43" s="1" t="s">
        <v>63</v>
      </c>
      <c r="E43" s="1" t="str">
        <f>VLOOKUP(gminy_26[[#This Row],[kod powiatu]],powiaty_26[],katalogi!$B$1,FALSE)</f>
        <v>jędrzejowski</v>
      </c>
      <c r="F43" s="1" t="s">
        <v>60</v>
      </c>
      <c r="G43" s="1" t="str">
        <f>VLOOKUP(gminy_26[[#This Row],[kod strefy]],strefy_26[],2,FALSE)</f>
        <v>strefa świętokrzyska</v>
      </c>
      <c r="H43" s="35">
        <v>124450</v>
      </c>
      <c r="I43" s="35">
        <v>0</v>
      </c>
      <c r="J43" s="35">
        <v>5290</v>
      </c>
      <c r="K43" s="35">
        <v>9920</v>
      </c>
      <c r="L43" s="35">
        <v>11250</v>
      </c>
      <c r="M43" s="35">
        <v>30720</v>
      </c>
      <c r="N43" s="35">
        <v>30720</v>
      </c>
      <c r="O43" s="38">
        <v>36550</v>
      </c>
      <c r="P43" s="38">
        <v>1</v>
      </c>
      <c r="Q43" s="38">
        <v>20</v>
      </c>
    </row>
    <row r="44" spans="1:17" x14ac:dyDescent="0.2">
      <c r="A44" s="1" t="s">
        <v>177</v>
      </c>
      <c r="B44" s="1" t="s">
        <v>178</v>
      </c>
      <c r="C44" s="1" t="str">
        <f>gminy_26[[#This Row],[kod gminy]]</f>
        <v>2604092</v>
      </c>
      <c r="D44" s="1" t="s">
        <v>65</v>
      </c>
      <c r="E44" s="1" t="str">
        <f>VLOOKUP(gminy_26[[#This Row],[kod powiatu]],powiaty_26[],katalogi!$B$1,FALSE)</f>
        <v>kielecki</v>
      </c>
      <c r="F44" s="1" t="s">
        <v>60</v>
      </c>
      <c r="G44" s="1" t="str">
        <f>VLOOKUP(gminy_26[[#This Row],[kod strefy]],strefy_26[],2,FALSE)</f>
        <v>strefa świętokrzyska</v>
      </c>
      <c r="H44" s="35">
        <v>121970</v>
      </c>
      <c r="I44" s="35">
        <v>0</v>
      </c>
      <c r="J44" s="35">
        <v>4710</v>
      </c>
      <c r="K44" s="35">
        <v>8820</v>
      </c>
      <c r="L44" s="35">
        <v>10000</v>
      </c>
      <c r="M44" s="35">
        <v>30710</v>
      </c>
      <c r="N44" s="35">
        <v>30710</v>
      </c>
      <c r="O44" s="38">
        <v>37020</v>
      </c>
      <c r="P44" s="38">
        <v>1</v>
      </c>
      <c r="Q44" s="38">
        <v>5</v>
      </c>
    </row>
    <row r="45" spans="1:17" x14ac:dyDescent="0.2">
      <c r="A45" s="1" t="s">
        <v>179</v>
      </c>
      <c r="B45" s="1" t="s">
        <v>180</v>
      </c>
      <c r="C45" s="1" t="str">
        <f>gminy_26[[#This Row],[kod gminy]]</f>
        <v>2608032</v>
      </c>
      <c r="D45" s="1" t="s">
        <v>69</v>
      </c>
      <c r="E45" s="1" t="str">
        <f>VLOOKUP(gminy_26[[#This Row],[kod powiatu]],powiaty_26[],katalogi!$B$1,FALSE)</f>
        <v>pińczowski</v>
      </c>
      <c r="F45" s="1" t="s">
        <v>60</v>
      </c>
      <c r="G45" s="1" t="str">
        <f>VLOOKUP(gminy_26[[#This Row],[kod strefy]],strefy_26[],2,FALSE)</f>
        <v>strefa świętokrzyska</v>
      </c>
      <c r="H45" s="35">
        <v>49620</v>
      </c>
      <c r="I45" s="35">
        <v>0</v>
      </c>
      <c r="J45" s="35">
        <v>610</v>
      </c>
      <c r="K45" s="35">
        <v>1150</v>
      </c>
      <c r="L45" s="35">
        <v>1300</v>
      </c>
      <c r="M45" s="35">
        <v>14120</v>
      </c>
      <c r="N45" s="35">
        <v>14120</v>
      </c>
      <c r="O45" s="38">
        <v>18320</v>
      </c>
      <c r="P45" s="38">
        <v>1</v>
      </c>
      <c r="Q45" s="38">
        <v>5</v>
      </c>
    </row>
    <row r="46" spans="1:17" x14ac:dyDescent="0.2">
      <c r="A46" s="1" t="s">
        <v>181</v>
      </c>
      <c r="B46" s="1" t="s">
        <v>182</v>
      </c>
      <c r="C46" s="1" t="str">
        <f>gminy_26[[#This Row],[kod gminy]]</f>
        <v>2604102</v>
      </c>
      <c r="D46" s="1" t="s">
        <v>65</v>
      </c>
      <c r="E46" s="1" t="str">
        <f>VLOOKUP(gminy_26[[#This Row],[kod powiatu]],powiaty_26[],katalogi!$B$1,FALSE)</f>
        <v>kielecki</v>
      </c>
      <c r="F46" s="1" t="s">
        <v>60</v>
      </c>
      <c r="G46" s="1" t="str">
        <f>VLOOKUP(gminy_26[[#This Row],[kod strefy]],strefy_26[],2,FALSE)</f>
        <v>strefa świętokrzyska</v>
      </c>
      <c r="H46" s="35">
        <v>122280</v>
      </c>
      <c r="I46" s="35">
        <v>0</v>
      </c>
      <c r="J46" s="35">
        <v>4790</v>
      </c>
      <c r="K46" s="35">
        <v>8980</v>
      </c>
      <c r="L46" s="35">
        <v>10170</v>
      </c>
      <c r="M46" s="35">
        <v>30700</v>
      </c>
      <c r="N46" s="35">
        <v>30700</v>
      </c>
      <c r="O46" s="38">
        <v>36940</v>
      </c>
      <c r="P46" s="38">
        <v>1</v>
      </c>
      <c r="Q46" s="38">
        <v>5</v>
      </c>
    </row>
    <row r="47" spans="1:17" x14ac:dyDescent="0.2">
      <c r="A47" s="1" t="s">
        <v>183</v>
      </c>
      <c r="B47" s="1" t="s">
        <v>184</v>
      </c>
      <c r="C47" s="1" t="str">
        <f>gminy_26[[#This Row],[kod gminy]]</f>
        <v>2611032</v>
      </c>
      <c r="D47" s="1" t="s">
        <v>72</v>
      </c>
      <c r="E47" s="1" t="str">
        <f>VLOOKUP(gminy_26[[#This Row],[kod powiatu]],powiaty_26[],katalogi!$B$1,FALSE)</f>
        <v>starachowicki</v>
      </c>
      <c r="F47" s="1" t="s">
        <v>60</v>
      </c>
      <c r="G47" s="1" t="str">
        <f>VLOOKUP(gminy_26[[#This Row],[kod strefy]],strefy_26[],2,FALSE)</f>
        <v>strefa świętokrzyska</v>
      </c>
      <c r="H47" s="35">
        <v>84100</v>
      </c>
      <c r="I47" s="35">
        <v>0</v>
      </c>
      <c r="J47" s="35">
        <v>2380</v>
      </c>
      <c r="K47" s="35">
        <v>4460</v>
      </c>
      <c r="L47" s="35">
        <v>5050</v>
      </c>
      <c r="M47" s="35">
        <v>22260</v>
      </c>
      <c r="N47" s="35">
        <v>22260</v>
      </c>
      <c r="O47" s="38">
        <v>27690</v>
      </c>
      <c r="P47" s="38">
        <v>1</v>
      </c>
      <c r="Q47" s="38">
        <v>5</v>
      </c>
    </row>
    <row r="48" spans="1:17" x14ac:dyDescent="0.2">
      <c r="A48" s="1" t="s">
        <v>185</v>
      </c>
      <c r="B48" s="1" t="s">
        <v>186</v>
      </c>
      <c r="C48" s="1" t="str">
        <f>gminy_26[[#This Row],[kod gminy]]</f>
        <v>2604112</v>
      </c>
      <c r="D48" s="1" t="s">
        <v>65</v>
      </c>
      <c r="E48" s="1" t="str">
        <f>VLOOKUP(gminy_26[[#This Row],[kod powiatu]],powiaty_26[],katalogi!$B$1,FALSE)</f>
        <v>kielecki</v>
      </c>
      <c r="F48" s="1" t="s">
        <v>60</v>
      </c>
      <c r="G48" s="1" t="str">
        <f>VLOOKUP(gminy_26[[#This Row],[kod strefy]],strefy_26[],2,FALSE)</f>
        <v>strefa świętokrzyska</v>
      </c>
      <c r="H48" s="35">
        <v>112730</v>
      </c>
      <c r="I48" s="35">
        <v>0</v>
      </c>
      <c r="J48" s="35">
        <v>4530</v>
      </c>
      <c r="K48" s="35">
        <v>8490</v>
      </c>
      <c r="L48" s="35">
        <v>9620</v>
      </c>
      <c r="M48" s="35">
        <v>28160</v>
      </c>
      <c r="N48" s="35">
        <v>28160</v>
      </c>
      <c r="O48" s="38">
        <v>33770</v>
      </c>
      <c r="P48" s="38">
        <v>1</v>
      </c>
      <c r="Q48" s="38">
        <v>5</v>
      </c>
    </row>
    <row r="49" spans="1:17" x14ac:dyDescent="0.2">
      <c r="A49" s="1" t="s">
        <v>187</v>
      </c>
      <c r="B49" s="1" t="s">
        <v>188</v>
      </c>
      <c r="C49" s="1" t="str">
        <f>gminy_26[[#This Row],[kod gminy]]</f>
        <v>2604123</v>
      </c>
      <c r="D49" s="1" t="s">
        <v>65</v>
      </c>
      <c r="E49" s="1" t="str">
        <f>VLOOKUP(gminy_26[[#This Row],[kod powiatu]],powiaty_26[],katalogi!$B$1,FALSE)</f>
        <v>kielecki</v>
      </c>
      <c r="F49" s="1" t="s">
        <v>60</v>
      </c>
      <c r="G49" s="1" t="str">
        <f>VLOOKUP(gminy_26[[#This Row],[kod strefy]],strefy_26[],2,FALSE)</f>
        <v>strefa świętokrzyska</v>
      </c>
      <c r="H49" s="35">
        <v>162640</v>
      </c>
      <c r="I49" s="35">
        <v>0</v>
      </c>
      <c r="J49" s="35">
        <v>6360</v>
      </c>
      <c r="K49" s="35">
        <v>11910</v>
      </c>
      <c r="L49" s="35">
        <v>13500</v>
      </c>
      <c r="M49" s="35">
        <v>40850</v>
      </c>
      <c r="N49" s="35">
        <v>40850</v>
      </c>
      <c r="O49" s="38">
        <v>49170</v>
      </c>
      <c r="P49" s="38">
        <v>1</v>
      </c>
      <c r="Q49" s="38">
        <v>20</v>
      </c>
    </row>
    <row r="50" spans="1:17" x14ac:dyDescent="0.2">
      <c r="A50" s="1" t="s">
        <v>189</v>
      </c>
      <c r="B50" s="1" t="s">
        <v>190</v>
      </c>
      <c r="C50" s="1" t="str">
        <f>gminy_26[[#This Row],[kod gminy]]</f>
        <v>2613032</v>
      </c>
      <c r="D50" s="1" t="s">
        <v>74</v>
      </c>
      <c r="E50" s="1" t="str">
        <f>VLOOKUP(gminy_26[[#This Row],[kod powiatu]],powiaty_26[],katalogi!$B$1,FALSE)</f>
        <v>włoszczowski</v>
      </c>
      <c r="F50" s="1" t="s">
        <v>60</v>
      </c>
      <c r="G50" s="1" t="str">
        <f>VLOOKUP(gminy_26[[#This Row],[kod strefy]],strefy_26[],2,FALSE)</f>
        <v>strefa świętokrzyska</v>
      </c>
      <c r="H50" s="35">
        <v>21530</v>
      </c>
      <c r="I50" s="35">
        <v>0</v>
      </c>
      <c r="J50" s="35">
        <v>320</v>
      </c>
      <c r="K50" s="35">
        <v>600</v>
      </c>
      <c r="L50" s="35">
        <v>680</v>
      </c>
      <c r="M50" s="35">
        <v>6060</v>
      </c>
      <c r="N50" s="35">
        <v>6060</v>
      </c>
      <c r="O50" s="38">
        <v>7810</v>
      </c>
      <c r="P50" s="38">
        <v>1</v>
      </c>
      <c r="Q50" s="38">
        <v>5</v>
      </c>
    </row>
    <row r="51" spans="1:17" x14ac:dyDescent="0.2">
      <c r="A51" s="1" t="s">
        <v>191</v>
      </c>
      <c r="B51" s="1" t="s">
        <v>192</v>
      </c>
      <c r="C51" s="1" t="str">
        <f>gminy_26[[#This Row],[kod gminy]]</f>
        <v>2602042</v>
      </c>
      <c r="D51" s="1" t="s">
        <v>63</v>
      </c>
      <c r="E51" s="1" t="str">
        <f>VLOOKUP(gminy_26[[#This Row],[kod powiatu]],powiaty_26[],katalogi!$B$1,FALSE)</f>
        <v>jędrzejowski</v>
      </c>
      <c r="F51" s="1" t="s">
        <v>60</v>
      </c>
      <c r="G51" s="1" t="str">
        <f>VLOOKUP(gminy_26[[#This Row],[kod strefy]],strefy_26[],2,FALSE)</f>
        <v>strefa świętokrzyska</v>
      </c>
      <c r="H51" s="35">
        <v>53810</v>
      </c>
      <c r="I51" s="35">
        <v>0</v>
      </c>
      <c r="J51" s="35">
        <v>2280</v>
      </c>
      <c r="K51" s="35">
        <v>4260</v>
      </c>
      <c r="L51" s="35">
        <v>4830</v>
      </c>
      <c r="M51" s="35">
        <v>13300</v>
      </c>
      <c r="N51" s="35">
        <v>13300</v>
      </c>
      <c r="O51" s="38">
        <v>15840</v>
      </c>
      <c r="P51" s="38">
        <v>1</v>
      </c>
      <c r="Q51" s="38">
        <v>5</v>
      </c>
    </row>
    <row r="52" spans="1:17" x14ac:dyDescent="0.2">
      <c r="A52" s="1" t="s">
        <v>193</v>
      </c>
      <c r="B52" s="1" t="s">
        <v>194</v>
      </c>
      <c r="C52" s="1" t="str">
        <f>gminy_26[[#This Row],[kod gminy]]</f>
        <v>2604132</v>
      </c>
      <c r="D52" s="1" t="s">
        <v>65</v>
      </c>
      <c r="E52" s="1" t="str">
        <f>VLOOKUP(gminy_26[[#This Row],[kod powiatu]],powiaty_26[],katalogi!$B$1,FALSE)</f>
        <v>kielecki</v>
      </c>
      <c r="F52" s="1" t="s">
        <v>60</v>
      </c>
      <c r="G52" s="1" t="str">
        <f>VLOOKUP(gminy_26[[#This Row],[kod strefy]],strefy_26[],2,FALSE)</f>
        <v>strefa świętokrzyska</v>
      </c>
      <c r="H52" s="35">
        <v>113030</v>
      </c>
      <c r="I52" s="35">
        <v>0</v>
      </c>
      <c r="J52" s="35">
        <v>4500</v>
      </c>
      <c r="K52" s="35">
        <v>8430</v>
      </c>
      <c r="L52" s="35">
        <v>9550</v>
      </c>
      <c r="M52" s="35">
        <v>28290</v>
      </c>
      <c r="N52" s="35">
        <v>28290</v>
      </c>
      <c r="O52" s="38">
        <v>33970</v>
      </c>
      <c r="P52" s="38">
        <v>1</v>
      </c>
      <c r="Q52" s="38">
        <v>20</v>
      </c>
    </row>
    <row r="53" spans="1:17" x14ac:dyDescent="0.2">
      <c r="A53" s="1" t="s">
        <v>244</v>
      </c>
      <c r="B53" s="1" t="s">
        <v>501</v>
      </c>
      <c r="C53" s="1" t="str">
        <f>gminy_26[[#This Row],[kod gminy]]</f>
        <v>2604172</v>
      </c>
      <c r="D53" s="1" t="s">
        <v>65</v>
      </c>
      <c r="E53" s="1" t="str">
        <f>VLOOKUP(gminy_26[[#This Row],[kod powiatu]],powiaty_26[],katalogi!$B$1,FALSE)</f>
        <v>kielecki</v>
      </c>
      <c r="F53" s="1" t="s">
        <v>60</v>
      </c>
      <c r="G53" s="1" t="str">
        <f>VLOOKUP(gminy_26[[#This Row],[kod strefy]],strefy_26[],2,FALSE)</f>
        <v>strefa świętokrzyska</v>
      </c>
      <c r="H53" s="35">
        <v>88770</v>
      </c>
      <c r="I53" s="35">
        <v>0</v>
      </c>
      <c r="J53" s="35">
        <v>3530</v>
      </c>
      <c r="K53" s="35">
        <v>6620</v>
      </c>
      <c r="L53" s="35">
        <v>7500</v>
      </c>
      <c r="M53" s="35">
        <v>22220</v>
      </c>
      <c r="N53" s="35">
        <v>22220</v>
      </c>
      <c r="O53" s="38">
        <v>26680</v>
      </c>
      <c r="P53" s="38">
        <v>1</v>
      </c>
      <c r="Q53" s="38">
        <v>5</v>
      </c>
    </row>
    <row r="54" spans="1:17" x14ac:dyDescent="0.2">
      <c r="A54" s="1" t="s">
        <v>195</v>
      </c>
      <c r="B54" s="1" t="s">
        <v>196</v>
      </c>
      <c r="C54" s="1" t="str">
        <f>gminy_26[[#This Row],[kod gminy]]</f>
        <v>2601032</v>
      </c>
      <c r="D54" s="1" t="s">
        <v>62</v>
      </c>
      <c r="E54" s="1" t="str">
        <f>VLOOKUP(gminy_26[[#This Row],[kod powiatu]],powiaty_26[],katalogi!$B$1,FALSE)</f>
        <v>buski</v>
      </c>
      <c r="F54" s="1" t="s">
        <v>60</v>
      </c>
      <c r="G54" s="1" t="str">
        <f>VLOOKUP(gminy_26[[#This Row],[kod strefy]],strefy_26[],2,FALSE)</f>
        <v>strefa świętokrzyska</v>
      </c>
      <c r="H54" s="35">
        <v>52400</v>
      </c>
      <c r="I54" s="35">
        <v>0</v>
      </c>
      <c r="J54" s="35">
        <v>2210</v>
      </c>
      <c r="K54" s="35">
        <v>4140</v>
      </c>
      <c r="L54" s="35">
        <v>4690</v>
      </c>
      <c r="M54" s="35">
        <v>12960</v>
      </c>
      <c r="N54" s="35">
        <v>12960</v>
      </c>
      <c r="O54" s="38">
        <v>15440</v>
      </c>
      <c r="P54" s="38">
        <v>1</v>
      </c>
      <c r="Q54" s="38">
        <v>20</v>
      </c>
    </row>
    <row r="55" spans="1:17" x14ac:dyDescent="0.2">
      <c r="A55" s="1" t="s">
        <v>197</v>
      </c>
      <c r="B55" s="1" t="s">
        <v>198</v>
      </c>
      <c r="C55" s="1" t="str">
        <f>gminy_26[[#This Row],[kod gminy]]</f>
        <v>2609062</v>
      </c>
      <c r="D55" s="1" t="s">
        <v>70</v>
      </c>
      <c r="E55" s="1" t="str">
        <f>VLOOKUP(gminy_26[[#This Row],[kod powiatu]],powiaty_26[],katalogi!$B$1,FALSE)</f>
        <v>sandomierski</v>
      </c>
      <c r="F55" s="1" t="s">
        <v>60</v>
      </c>
      <c r="G55" s="1" t="str">
        <f>VLOOKUP(gminy_26[[#This Row],[kod strefy]],strefy_26[],2,FALSE)</f>
        <v>strefa świętokrzyska</v>
      </c>
      <c r="H55" s="35">
        <v>29580</v>
      </c>
      <c r="I55" s="35">
        <v>0</v>
      </c>
      <c r="J55" s="35">
        <v>980</v>
      </c>
      <c r="K55" s="35">
        <v>1830</v>
      </c>
      <c r="L55" s="35">
        <v>2080</v>
      </c>
      <c r="M55" s="35">
        <v>7650</v>
      </c>
      <c r="N55" s="35">
        <v>7650</v>
      </c>
      <c r="O55" s="38">
        <v>9390</v>
      </c>
      <c r="P55" s="38">
        <v>1</v>
      </c>
      <c r="Q55" s="38">
        <v>5</v>
      </c>
    </row>
    <row r="56" spans="1:17" x14ac:dyDescent="0.2">
      <c r="A56" s="1" t="s">
        <v>199</v>
      </c>
      <c r="B56" s="1" t="s">
        <v>200</v>
      </c>
      <c r="C56" s="1" t="str">
        <f>gminy_26[[#This Row],[kod gminy]]</f>
        <v>2602052</v>
      </c>
      <c r="D56" s="1" t="s">
        <v>63</v>
      </c>
      <c r="E56" s="1" t="str">
        <f>VLOOKUP(gminy_26[[#This Row],[kod powiatu]],powiaty_26[],katalogi!$B$1,FALSE)</f>
        <v>jędrzejowski</v>
      </c>
      <c r="F56" s="1" t="s">
        <v>60</v>
      </c>
      <c r="G56" s="1" t="str">
        <f>VLOOKUP(gminy_26[[#This Row],[kod strefy]],strefy_26[],2,FALSE)</f>
        <v>strefa świętokrzyska</v>
      </c>
      <c r="H56" s="35">
        <v>49080</v>
      </c>
      <c r="I56" s="35">
        <v>0</v>
      </c>
      <c r="J56" s="35">
        <v>2050</v>
      </c>
      <c r="K56" s="35">
        <v>3830</v>
      </c>
      <c r="L56" s="35">
        <v>4340</v>
      </c>
      <c r="M56" s="35">
        <v>12170</v>
      </c>
      <c r="N56" s="35">
        <v>12170</v>
      </c>
      <c r="O56" s="38">
        <v>14520</v>
      </c>
      <c r="P56" s="38">
        <v>1</v>
      </c>
      <c r="Q56" s="38">
        <v>5</v>
      </c>
    </row>
    <row r="57" spans="1:17" x14ac:dyDescent="0.2">
      <c r="A57" s="1" t="s">
        <v>201</v>
      </c>
      <c r="B57" s="1" t="s">
        <v>202</v>
      </c>
      <c r="C57" s="1" t="str">
        <f>gminy_26[[#This Row],[kod gminy]]</f>
        <v>2612032</v>
      </c>
      <c r="D57" s="1" t="s">
        <v>73</v>
      </c>
      <c r="E57" s="1" t="str">
        <f>VLOOKUP(gminy_26[[#This Row],[kod powiatu]],powiaty_26[],katalogi!$B$1,FALSE)</f>
        <v>staszowski</v>
      </c>
      <c r="F57" s="1" t="s">
        <v>60</v>
      </c>
      <c r="G57" s="1" t="str">
        <f>VLOOKUP(gminy_26[[#This Row],[kod strefy]],strefy_26[],2,FALSE)</f>
        <v>strefa świętokrzyska</v>
      </c>
      <c r="H57" s="35">
        <v>32250</v>
      </c>
      <c r="I57" s="35">
        <v>0</v>
      </c>
      <c r="J57" s="35">
        <v>1920</v>
      </c>
      <c r="K57" s="35">
        <v>3590</v>
      </c>
      <c r="L57" s="35">
        <v>4060</v>
      </c>
      <c r="M57" s="35">
        <v>7280</v>
      </c>
      <c r="N57" s="35">
        <v>7280</v>
      </c>
      <c r="O57" s="38">
        <v>8120</v>
      </c>
      <c r="P57" s="38">
        <v>1</v>
      </c>
      <c r="Q57" s="38">
        <v>20</v>
      </c>
    </row>
    <row r="58" spans="1:17" x14ac:dyDescent="0.2">
      <c r="A58" s="1" t="s">
        <v>203</v>
      </c>
      <c r="B58" s="1" t="s">
        <v>204</v>
      </c>
      <c r="C58" s="1" t="str">
        <f>gminy_26[[#This Row],[kod gminy]]</f>
        <v>2603042</v>
      </c>
      <c r="D58" s="1" t="s">
        <v>64</v>
      </c>
      <c r="E58" s="1" t="str">
        <f>VLOOKUP(gminy_26[[#This Row],[kod powiatu]],powiaty_26[],katalogi!$B$1,FALSE)</f>
        <v>kazimierski</v>
      </c>
      <c r="F58" s="1" t="s">
        <v>60</v>
      </c>
      <c r="G58" s="1" t="str">
        <f>VLOOKUP(gminy_26[[#This Row],[kod strefy]],strefy_26[],2,FALSE)</f>
        <v>strefa świętokrzyska</v>
      </c>
      <c r="H58" s="35">
        <v>23710</v>
      </c>
      <c r="I58" s="35">
        <v>0</v>
      </c>
      <c r="J58" s="35">
        <v>630</v>
      </c>
      <c r="K58" s="35">
        <v>1170</v>
      </c>
      <c r="L58" s="35">
        <v>1330</v>
      </c>
      <c r="M58" s="35">
        <v>6330</v>
      </c>
      <c r="N58" s="35">
        <v>6330</v>
      </c>
      <c r="O58" s="38">
        <v>7920</v>
      </c>
      <c r="P58" s="38">
        <v>1</v>
      </c>
      <c r="Q58" s="38">
        <v>20</v>
      </c>
    </row>
    <row r="59" spans="1:17" x14ac:dyDescent="0.2">
      <c r="A59" s="1" t="s">
        <v>205</v>
      </c>
      <c r="B59" s="1" t="s">
        <v>14</v>
      </c>
      <c r="C59" s="1" t="str">
        <f>gminy_26[[#This Row],[kod gminy]]</f>
        <v>2606043</v>
      </c>
      <c r="D59" s="1" t="s">
        <v>67</v>
      </c>
      <c r="E59" s="1" t="str">
        <f>VLOOKUP(gminy_26[[#This Row],[kod powiatu]],powiaty_26[],katalogi!$B$1,FALSE)</f>
        <v>opatowski</v>
      </c>
      <c r="F59" s="1" t="s">
        <v>60</v>
      </c>
      <c r="G59" s="1" t="str">
        <f>VLOOKUP(gminy_26[[#This Row],[kod strefy]],strefy_26[],2,FALSE)</f>
        <v>strefa świętokrzyska</v>
      </c>
      <c r="H59" s="35">
        <v>55640</v>
      </c>
      <c r="I59" s="35">
        <v>0</v>
      </c>
      <c r="J59" s="35">
        <v>470</v>
      </c>
      <c r="K59" s="35">
        <v>870</v>
      </c>
      <c r="L59" s="35">
        <v>990</v>
      </c>
      <c r="M59" s="35">
        <v>16110</v>
      </c>
      <c r="N59" s="35">
        <v>16110</v>
      </c>
      <c r="O59" s="38">
        <v>21090</v>
      </c>
      <c r="P59" s="38">
        <v>1</v>
      </c>
      <c r="Q59" s="38">
        <v>20</v>
      </c>
    </row>
    <row r="60" spans="1:17" x14ac:dyDescent="0.2">
      <c r="A60" s="1" t="s">
        <v>206</v>
      </c>
      <c r="B60" s="1" t="s">
        <v>207</v>
      </c>
      <c r="C60" s="1" t="str">
        <f>gminy_26[[#This Row],[kod gminy]]</f>
        <v>2612043</v>
      </c>
      <c r="D60" s="1" t="s">
        <v>73</v>
      </c>
      <c r="E60" s="1" t="str">
        <f>VLOOKUP(gminy_26[[#This Row],[kod powiatu]],powiaty_26[],katalogi!$B$1,FALSE)</f>
        <v>staszowski</v>
      </c>
      <c r="F60" s="1" t="s">
        <v>60</v>
      </c>
      <c r="G60" s="1" t="str">
        <f>VLOOKUP(gminy_26[[#This Row],[kod strefy]],strefy_26[],2,FALSE)</f>
        <v>strefa świętokrzyska</v>
      </c>
      <c r="H60" s="35">
        <v>80780</v>
      </c>
      <c r="I60" s="35">
        <v>0</v>
      </c>
      <c r="J60" s="35">
        <v>4780</v>
      </c>
      <c r="K60" s="35">
        <v>8960</v>
      </c>
      <c r="L60" s="35">
        <v>10150</v>
      </c>
      <c r="M60" s="35">
        <v>18260</v>
      </c>
      <c r="N60" s="35">
        <v>18260</v>
      </c>
      <c r="O60" s="38">
        <v>20370</v>
      </c>
      <c r="P60" s="38">
        <v>1</v>
      </c>
      <c r="Q60" s="38">
        <v>20</v>
      </c>
    </row>
    <row r="61" spans="1:17" x14ac:dyDescent="0.2">
      <c r="A61" s="1" t="s">
        <v>208</v>
      </c>
      <c r="B61" s="1" t="s">
        <v>209</v>
      </c>
      <c r="C61" s="1" t="str">
        <f>gminy_26[[#This Row],[kod gminy]]</f>
        <v>2607011</v>
      </c>
      <c r="D61" s="1" t="s">
        <v>68</v>
      </c>
      <c r="E61" s="1" t="str">
        <f>VLOOKUP(gminy_26[[#This Row],[kod powiatu]],powiaty_26[],katalogi!$B$1,FALSE)</f>
        <v>ostrowiecki</v>
      </c>
      <c r="F61" s="1" t="s">
        <v>60</v>
      </c>
      <c r="G61" s="1" t="str">
        <f>VLOOKUP(gminy_26[[#This Row],[kod strefy]],strefy_26[],2,FALSE)</f>
        <v>strefa świętokrzyska</v>
      </c>
      <c r="H61" s="35">
        <v>424670</v>
      </c>
      <c r="I61" s="35">
        <v>0</v>
      </c>
      <c r="J61" s="35">
        <v>18390</v>
      </c>
      <c r="K61" s="35">
        <v>34470</v>
      </c>
      <c r="L61" s="35">
        <v>39070</v>
      </c>
      <c r="M61" s="35">
        <v>104420</v>
      </c>
      <c r="N61" s="35">
        <v>104420</v>
      </c>
      <c r="O61" s="38">
        <v>123900</v>
      </c>
      <c r="P61" s="38">
        <v>1</v>
      </c>
      <c r="Q61" s="38">
        <v>20</v>
      </c>
    </row>
    <row r="62" spans="1:17" x14ac:dyDescent="0.2">
      <c r="A62" s="1" t="s">
        <v>210</v>
      </c>
      <c r="B62" s="1" t="s">
        <v>211</v>
      </c>
      <c r="C62" s="1" t="str">
        <f>gminy_26[[#This Row],[kod gminy]]</f>
        <v>2606053</v>
      </c>
      <c r="D62" s="1" t="s">
        <v>67</v>
      </c>
      <c r="E62" s="1" t="str">
        <f>VLOOKUP(gminy_26[[#This Row],[kod powiatu]],powiaty_26[],katalogi!$B$1,FALSE)</f>
        <v>opatowski</v>
      </c>
      <c r="F62" s="1" t="s">
        <v>60</v>
      </c>
      <c r="G62" s="1" t="str">
        <f>VLOOKUP(gminy_26[[#This Row],[kod strefy]],strefy_26[],2,FALSE)</f>
        <v>strefa świętokrzyska</v>
      </c>
      <c r="H62" s="35">
        <v>66720</v>
      </c>
      <c r="I62" s="35">
        <v>0</v>
      </c>
      <c r="J62" s="35">
        <v>630</v>
      </c>
      <c r="K62" s="35">
        <v>1180</v>
      </c>
      <c r="L62" s="35">
        <v>1330</v>
      </c>
      <c r="M62" s="35">
        <v>19230</v>
      </c>
      <c r="N62" s="35">
        <v>19230</v>
      </c>
      <c r="O62" s="38">
        <v>25120</v>
      </c>
      <c r="P62" s="38">
        <v>1</v>
      </c>
      <c r="Q62" s="38">
        <v>20</v>
      </c>
    </row>
    <row r="63" spans="1:17" x14ac:dyDescent="0.2">
      <c r="A63" s="1" t="s">
        <v>212</v>
      </c>
      <c r="B63" s="1" t="s">
        <v>213</v>
      </c>
      <c r="C63" s="1" t="str">
        <f>gminy_26[[#This Row],[kod gminy]]</f>
        <v>2601042</v>
      </c>
      <c r="D63" s="1" t="s">
        <v>62</v>
      </c>
      <c r="E63" s="1" t="str">
        <f>VLOOKUP(gminy_26[[#This Row],[kod powiatu]],powiaty_26[],katalogi!$B$1,FALSE)</f>
        <v>buski</v>
      </c>
      <c r="F63" s="1" t="s">
        <v>60</v>
      </c>
      <c r="G63" s="1" t="str">
        <f>VLOOKUP(gminy_26[[#This Row],[kod strefy]],strefy_26[],2,FALSE)</f>
        <v>strefa świętokrzyska</v>
      </c>
      <c r="H63" s="35">
        <v>69270</v>
      </c>
      <c r="I63" s="35">
        <v>0</v>
      </c>
      <c r="J63" s="35">
        <v>2860</v>
      </c>
      <c r="K63" s="35">
        <v>5350</v>
      </c>
      <c r="L63" s="35">
        <v>6070</v>
      </c>
      <c r="M63" s="35">
        <v>17210</v>
      </c>
      <c r="N63" s="35">
        <v>17210</v>
      </c>
      <c r="O63" s="38">
        <v>20570</v>
      </c>
      <c r="P63" s="38">
        <v>1</v>
      </c>
      <c r="Q63" s="38">
        <v>20</v>
      </c>
    </row>
    <row r="64" spans="1:17" x14ac:dyDescent="0.2">
      <c r="A64" s="1" t="s">
        <v>214</v>
      </c>
      <c r="B64" s="1" t="s">
        <v>215</v>
      </c>
      <c r="C64" s="1" t="str">
        <f>gminy_26[[#This Row],[kod gminy]]</f>
        <v>2611042</v>
      </c>
      <c r="D64" s="1" t="s">
        <v>72</v>
      </c>
      <c r="E64" s="1" t="str">
        <f>VLOOKUP(gminy_26[[#This Row],[kod powiatu]],powiaty_26[],katalogi!$B$1,FALSE)</f>
        <v>starachowicki</v>
      </c>
      <c r="F64" s="1" t="s">
        <v>60</v>
      </c>
      <c r="G64" s="1" t="str">
        <f>VLOOKUP(gminy_26[[#This Row],[kod strefy]],strefy_26[],2,FALSE)</f>
        <v>strefa świętokrzyska</v>
      </c>
      <c r="H64" s="35">
        <v>154410</v>
      </c>
      <c r="I64" s="35">
        <v>0</v>
      </c>
      <c r="J64" s="35">
        <v>4410</v>
      </c>
      <c r="K64" s="35">
        <v>8270</v>
      </c>
      <c r="L64" s="35">
        <v>9370</v>
      </c>
      <c r="M64" s="35">
        <v>40810</v>
      </c>
      <c r="N64" s="35">
        <v>40810</v>
      </c>
      <c r="O64" s="38">
        <v>50740</v>
      </c>
      <c r="P64" s="38">
        <v>1</v>
      </c>
      <c r="Q64" s="38">
        <v>5</v>
      </c>
    </row>
    <row r="65" spans="1:17" x14ac:dyDescent="0.2">
      <c r="A65" s="1" t="s">
        <v>216</v>
      </c>
      <c r="B65" s="1" t="s">
        <v>217</v>
      </c>
      <c r="C65" s="1" t="str">
        <f>gminy_26[[#This Row],[kod gminy]]</f>
        <v>2604142</v>
      </c>
      <c r="D65" s="1" t="s">
        <v>65</v>
      </c>
      <c r="E65" s="1" t="str">
        <f>VLOOKUP(gminy_26[[#This Row],[kod powiatu]],powiaty_26[],katalogi!$B$1,FALSE)</f>
        <v>kielecki</v>
      </c>
      <c r="F65" s="1" t="s">
        <v>60</v>
      </c>
      <c r="G65" s="1" t="str">
        <f>VLOOKUP(gminy_26[[#This Row],[kod strefy]],strefy_26[],2,FALSE)</f>
        <v>strefa świętokrzyska</v>
      </c>
      <c r="H65" s="35">
        <v>194000</v>
      </c>
      <c r="I65" s="35">
        <v>0</v>
      </c>
      <c r="J65" s="35">
        <v>7640</v>
      </c>
      <c r="K65" s="35">
        <v>14320</v>
      </c>
      <c r="L65" s="35">
        <v>16230</v>
      </c>
      <c r="M65" s="35">
        <v>48650</v>
      </c>
      <c r="N65" s="35">
        <v>48650</v>
      </c>
      <c r="O65" s="38">
        <v>58510</v>
      </c>
      <c r="P65" s="38">
        <v>1</v>
      </c>
      <c r="Q65" s="38">
        <v>20</v>
      </c>
    </row>
    <row r="66" spans="1:17" x14ac:dyDescent="0.2">
      <c r="A66" s="1" t="s">
        <v>218</v>
      </c>
      <c r="B66" s="1" t="s">
        <v>219</v>
      </c>
      <c r="C66" s="1" t="str">
        <f>gminy_26[[#This Row],[kod gminy]]</f>
        <v>2604152</v>
      </c>
      <c r="D66" s="1" t="s">
        <v>65</v>
      </c>
      <c r="E66" s="1" t="str">
        <f>VLOOKUP(gminy_26[[#This Row],[kod powiatu]],powiaty_26[],katalogi!$B$1,FALSE)</f>
        <v>kielecki</v>
      </c>
      <c r="F66" s="1" t="s">
        <v>60</v>
      </c>
      <c r="G66" s="1" t="str">
        <f>VLOOKUP(gminy_26[[#This Row],[kod strefy]],strefy_26[],2,FALSE)</f>
        <v>strefa świętokrzyska</v>
      </c>
      <c r="H66" s="35">
        <v>55590</v>
      </c>
      <c r="I66" s="35">
        <v>0</v>
      </c>
      <c r="J66" s="35">
        <v>2190</v>
      </c>
      <c r="K66" s="35">
        <v>4110</v>
      </c>
      <c r="L66" s="35">
        <v>4650</v>
      </c>
      <c r="M66" s="35">
        <v>13940</v>
      </c>
      <c r="N66" s="35">
        <v>13940</v>
      </c>
      <c r="O66" s="38">
        <v>16760</v>
      </c>
      <c r="P66" s="38">
        <v>1</v>
      </c>
      <c r="Q66" s="38">
        <v>20</v>
      </c>
    </row>
    <row r="67" spans="1:17" x14ac:dyDescent="0.2">
      <c r="A67" s="1" t="s">
        <v>220</v>
      </c>
      <c r="B67" s="1" t="s">
        <v>221</v>
      </c>
      <c r="C67" s="1" t="str">
        <f>gminy_26[[#This Row],[kod gminy]]</f>
        <v>2608043</v>
      </c>
      <c r="D67" s="1" t="s">
        <v>69</v>
      </c>
      <c r="E67" s="1" t="str">
        <f>VLOOKUP(gminy_26[[#This Row],[kod powiatu]],powiaty_26[],katalogi!$B$1,FALSE)</f>
        <v>pińczowski</v>
      </c>
      <c r="F67" s="1" t="s">
        <v>60</v>
      </c>
      <c r="G67" s="1" t="str">
        <f>VLOOKUP(gminy_26[[#This Row],[kod strefy]],strefy_26[],2,FALSE)</f>
        <v>strefa świętokrzyska</v>
      </c>
      <c r="H67" s="35">
        <v>161340</v>
      </c>
      <c r="I67" s="35">
        <v>0</v>
      </c>
      <c r="J67" s="35">
        <v>2080</v>
      </c>
      <c r="K67" s="35">
        <v>3900</v>
      </c>
      <c r="L67" s="35">
        <v>4420</v>
      </c>
      <c r="M67" s="35">
        <v>45800</v>
      </c>
      <c r="N67" s="35">
        <v>45800</v>
      </c>
      <c r="O67" s="38">
        <v>59340</v>
      </c>
      <c r="P67" s="38">
        <v>1</v>
      </c>
      <c r="Q67" s="38">
        <v>20</v>
      </c>
    </row>
    <row r="68" spans="1:17" x14ac:dyDescent="0.2">
      <c r="A68" s="1" t="s">
        <v>222</v>
      </c>
      <c r="B68" s="1" t="s">
        <v>223</v>
      </c>
      <c r="C68" s="1" t="str">
        <f>gminy_26[[#This Row],[kod gminy]]</f>
        <v>2612053</v>
      </c>
      <c r="D68" s="1" t="s">
        <v>73</v>
      </c>
      <c r="E68" s="1" t="str">
        <f>VLOOKUP(gminy_26[[#This Row],[kod powiatu]],powiaty_26[],katalogi!$B$1,FALSE)</f>
        <v>staszowski</v>
      </c>
      <c r="F68" s="1" t="s">
        <v>60</v>
      </c>
      <c r="G68" s="1" t="str">
        <f>VLOOKUP(gminy_26[[#This Row],[kod strefy]],strefy_26[],2,FALSE)</f>
        <v>strefa świętokrzyska</v>
      </c>
      <c r="H68" s="35">
        <v>100530</v>
      </c>
      <c r="I68" s="35">
        <v>0</v>
      </c>
      <c r="J68" s="35">
        <v>5940</v>
      </c>
      <c r="K68" s="35">
        <v>11130</v>
      </c>
      <c r="L68" s="35">
        <v>12610</v>
      </c>
      <c r="M68" s="35">
        <v>22740</v>
      </c>
      <c r="N68" s="35">
        <v>22740</v>
      </c>
      <c r="O68" s="38">
        <v>25370</v>
      </c>
      <c r="P68" s="38">
        <v>1</v>
      </c>
      <c r="Q68" s="38">
        <v>20</v>
      </c>
    </row>
    <row r="69" spans="1:17" x14ac:dyDescent="0.2">
      <c r="A69" s="1" t="s">
        <v>224</v>
      </c>
      <c r="B69" s="1" t="s">
        <v>225</v>
      </c>
      <c r="C69" s="1" t="str">
        <f>gminy_26[[#This Row],[kod gminy]]</f>
        <v>2613042</v>
      </c>
      <c r="D69" s="1" t="s">
        <v>74</v>
      </c>
      <c r="E69" s="1" t="str">
        <f>VLOOKUP(gminy_26[[#This Row],[kod powiatu]],powiaty_26[],katalogi!$B$1,FALSE)</f>
        <v>włoszczowski</v>
      </c>
      <c r="F69" s="1" t="s">
        <v>60</v>
      </c>
      <c r="G69" s="1" t="str">
        <f>VLOOKUP(gminy_26[[#This Row],[kod strefy]],strefy_26[],2,FALSE)</f>
        <v>strefa świętokrzyska</v>
      </c>
      <c r="H69" s="35">
        <v>19450</v>
      </c>
      <c r="I69" s="35">
        <v>0</v>
      </c>
      <c r="J69" s="35">
        <v>250</v>
      </c>
      <c r="K69" s="35">
        <v>470</v>
      </c>
      <c r="L69" s="35">
        <v>540</v>
      </c>
      <c r="M69" s="35">
        <v>5520</v>
      </c>
      <c r="N69" s="35">
        <v>5520</v>
      </c>
      <c r="O69" s="38">
        <v>7150</v>
      </c>
      <c r="P69" s="38">
        <v>1</v>
      </c>
      <c r="Q69" s="38">
        <v>5</v>
      </c>
    </row>
    <row r="70" spans="1:17" x14ac:dyDescent="0.2">
      <c r="A70" s="1" t="s">
        <v>226</v>
      </c>
      <c r="B70" s="1" t="s">
        <v>227</v>
      </c>
      <c r="C70" s="1" t="str">
        <f>gminy_26[[#This Row],[kod gminy]]</f>
        <v>2605043</v>
      </c>
      <c r="D70" s="1" t="s">
        <v>66</v>
      </c>
      <c r="E70" s="1" t="str">
        <f>VLOOKUP(gminy_26[[#This Row],[kod powiatu]],powiaty_26[],katalogi!$B$1,FALSE)</f>
        <v>konecki</v>
      </c>
      <c r="F70" s="1" t="s">
        <v>60</v>
      </c>
      <c r="G70" s="1" t="str">
        <f>VLOOKUP(gminy_26[[#This Row],[kod strefy]],strefy_26[],2,FALSE)</f>
        <v>strefa świętokrzyska</v>
      </c>
      <c r="H70" s="35">
        <v>90640</v>
      </c>
      <c r="I70" s="35">
        <v>0</v>
      </c>
      <c r="J70" s="35">
        <v>2780</v>
      </c>
      <c r="K70" s="35">
        <v>5200</v>
      </c>
      <c r="L70" s="35">
        <v>5900</v>
      </c>
      <c r="M70" s="35">
        <v>23720</v>
      </c>
      <c r="N70" s="35">
        <v>23720</v>
      </c>
      <c r="O70" s="38">
        <v>29320</v>
      </c>
      <c r="P70" s="38">
        <v>1</v>
      </c>
      <c r="Q70" s="38">
        <v>20</v>
      </c>
    </row>
    <row r="71" spans="1:17" x14ac:dyDescent="0.2">
      <c r="A71" s="1" t="s">
        <v>228</v>
      </c>
      <c r="B71" s="1" t="s">
        <v>229</v>
      </c>
      <c r="C71" s="1" t="str">
        <f>gminy_26[[#This Row],[kod gminy]]</f>
        <v>2604162</v>
      </c>
      <c r="D71" s="1" t="s">
        <v>65</v>
      </c>
      <c r="E71" s="1" t="str">
        <f>VLOOKUP(gminy_26[[#This Row],[kod powiatu]],powiaty_26[],katalogi!$B$1,FALSE)</f>
        <v>kielecki</v>
      </c>
      <c r="F71" s="1" t="s">
        <v>60</v>
      </c>
      <c r="G71" s="1" t="str">
        <f>VLOOKUP(gminy_26[[#This Row],[kod strefy]],strefy_26[],2,FALSE)</f>
        <v>strefa świętokrzyska</v>
      </c>
      <c r="H71" s="35">
        <v>66280</v>
      </c>
      <c r="I71" s="35">
        <v>0</v>
      </c>
      <c r="J71" s="35">
        <v>2610</v>
      </c>
      <c r="K71" s="35">
        <v>4880</v>
      </c>
      <c r="L71" s="35">
        <v>5530</v>
      </c>
      <c r="M71" s="35">
        <v>16630</v>
      </c>
      <c r="N71" s="35">
        <v>16630</v>
      </c>
      <c r="O71" s="38">
        <v>20000</v>
      </c>
      <c r="P71" s="38">
        <v>1</v>
      </c>
      <c r="Q71" s="38">
        <v>5</v>
      </c>
    </row>
    <row r="72" spans="1:17" x14ac:dyDescent="0.2">
      <c r="A72" s="1" t="s">
        <v>230</v>
      </c>
      <c r="B72" s="1" t="s">
        <v>231</v>
      </c>
      <c r="C72" s="1" t="str">
        <f>gminy_26[[#This Row],[kod gminy]]</f>
        <v>2605052</v>
      </c>
      <c r="D72" s="1" t="s">
        <v>66</v>
      </c>
      <c r="E72" s="1" t="str">
        <f>VLOOKUP(gminy_26[[#This Row],[kod powiatu]],powiaty_26[],katalogi!$B$1,FALSE)</f>
        <v>konecki</v>
      </c>
      <c r="F72" s="1" t="s">
        <v>60</v>
      </c>
      <c r="G72" s="1" t="str">
        <f>VLOOKUP(gminy_26[[#This Row],[kod strefy]],strefy_26[],2,FALSE)</f>
        <v>strefa świętokrzyska</v>
      </c>
      <c r="H72" s="35">
        <v>30150</v>
      </c>
      <c r="I72" s="35">
        <v>0</v>
      </c>
      <c r="J72" s="35">
        <v>860</v>
      </c>
      <c r="K72" s="35">
        <v>1610</v>
      </c>
      <c r="L72" s="35">
        <v>1820</v>
      </c>
      <c r="M72" s="35">
        <v>7970</v>
      </c>
      <c r="N72" s="35">
        <v>7970</v>
      </c>
      <c r="O72" s="38">
        <v>9920</v>
      </c>
      <c r="P72" s="38">
        <v>1</v>
      </c>
      <c r="Q72" s="38">
        <v>5</v>
      </c>
    </row>
    <row r="73" spans="1:17" x14ac:dyDescent="0.2">
      <c r="A73" s="1" t="s">
        <v>232</v>
      </c>
      <c r="B73" s="1" t="s">
        <v>233</v>
      </c>
      <c r="C73" s="1" t="str">
        <f>gminy_26[[#This Row],[kod gminy]]</f>
        <v>2612062</v>
      </c>
      <c r="D73" s="1" t="s">
        <v>73</v>
      </c>
      <c r="E73" s="1" t="str">
        <f>VLOOKUP(gminy_26[[#This Row],[kod powiatu]],powiaty_26[],katalogi!$B$1,FALSE)</f>
        <v>staszowski</v>
      </c>
      <c r="F73" s="1" t="s">
        <v>60</v>
      </c>
      <c r="G73" s="1" t="str">
        <f>VLOOKUP(gminy_26[[#This Row],[kod strefy]],strefy_26[],2,FALSE)</f>
        <v>strefa świętokrzyska</v>
      </c>
      <c r="H73" s="35">
        <v>60580</v>
      </c>
      <c r="I73" s="35">
        <v>0</v>
      </c>
      <c r="J73" s="35">
        <v>3550</v>
      </c>
      <c r="K73" s="35">
        <v>6650</v>
      </c>
      <c r="L73" s="35">
        <v>7540</v>
      </c>
      <c r="M73" s="35">
        <v>13740</v>
      </c>
      <c r="N73" s="35">
        <v>13740</v>
      </c>
      <c r="O73" s="38">
        <v>15360</v>
      </c>
      <c r="P73" s="38">
        <v>1</v>
      </c>
      <c r="Q73" s="38">
        <v>5</v>
      </c>
    </row>
    <row r="74" spans="1:17" x14ac:dyDescent="0.2">
      <c r="A74" s="1" t="s">
        <v>234</v>
      </c>
      <c r="B74" s="1" t="s">
        <v>235</v>
      </c>
      <c r="C74" s="1" t="str">
        <f>gminy_26[[#This Row],[kod gminy]]</f>
        <v>2606062</v>
      </c>
      <c r="D74" s="1" t="s">
        <v>67</v>
      </c>
      <c r="E74" s="1" t="str">
        <f>VLOOKUP(gminy_26[[#This Row],[kod powiatu]],powiaty_26[],katalogi!$B$1,FALSE)</f>
        <v>opatowski</v>
      </c>
      <c r="F74" s="1" t="s">
        <v>60</v>
      </c>
      <c r="G74" s="1" t="str">
        <f>VLOOKUP(gminy_26[[#This Row],[kod strefy]],strefy_26[],2,FALSE)</f>
        <v>strefa świętokrzyska</v>
      </c>
      <c r="H74" s="35">
        <v>23480</v>
      </c>
      <c r="I74" s="35">
        <v>0</v>
      </c>
      <c r="J74" s="35">
        <v>130</v>
      </c>
      <c r="K74" s="35">
        <v>250</v>
      </c>
      <c r="L74" s="35">
        <v>280</v>
      </c>
      <c r="M74" s="35">
        <v>6880</v>
      </c>
      <c r="N74" s="35">
        <v>6880</v>
      </c>
      <c r="O74" s="38">
        <v>9060</v>
      </c>
      <c r="P74" s="38">
        <v>1</v>
      </c>
      <c r="Q74" s="38">
        <v>5</v>
      </c>
    </row>
    <row r="75" spans="1:17" x14ac:dyDescent="0.2">
      <c r="A75" s="1" t="s">
        <v>236</v>
      </c>
      <c r="B75" s="1" t="s">
        <v>237</v>
      </c>
      <c r="C75" s="1" t="str">
        <f>gminy_26[[#This Row],[kod gminy]]</f>
        <v>2609072</v>
      </c>
      <c r="D75" s="1" t="s">
        <v>70</v>
      </c>
      <c r="E75" s="1" t="str">
        <f>VLOOKUP(gminy_26[[#This Row],[kod powiatu]],powiaty_26[],katalogi!$B$1,FALSE)</f>
        <v>sandomierski</v>
      </c>
      <c r="F75" s="1" t="s">
        <v>60</v>
      </c>
      <c r="G75" s="1" t="str">
        <f>VLOOKUP(gminy_26[[#This Row],[kod strefy]],strefy_26[],2,FALSE)</f>
        <v>strefa świętokrzyska</v>
      </c>
      <c r="H75" s="35">
        <v>36460</v>
      </c>
      <c r="I75" s="35">
        <v>0</v>
      </c>
      <c r="J75" s="35">
        <v>1220</v>
      </c>
      <c r="K75" s="35">
        <v>2280</v>
      </c>
      <c r="L75" s="35">
        <v>2580</v>
      </c>
      <c r="M75" s="35">
        <v>9420</v>
      </c>
      <c r="N75" s="35">
        <v>9420</v>
      </c>
      <c r="O75" s="38">
        <v>11540</v>
      </c>
      <c r="P75" s="38">
        <v>1</v>
      </c>
      <c r="Q75" s="38">
        <v>5</v>
      </c>
    </row>
    <row r="76" spans="1:17" x14ac:dyDescent="0.2">
      <c r="A76" s="1" t="s">
        <v>238</v>
      </c>
      <c r="B76" s="1" t="s">
        <v>239</v>
      </c>
      <c r="C76" s="1" t="str">
        <f>gminy_26[[#This Row],[kod gminy]]</f>
        <v>2609011</v>
      </c>
      <c r="D76" s="1" t="s">
        <v>70</v>
      </c>
      <c r="E76" s="1" t="str">
        <f>VLOOKUP(gminy_26[[#This Row],[kod powiatu]],powiaty_26[],katalogi!$B$1,FALSE)</f>
        <v>sandomierski</v>
      </c>
      <c r="F76" s="1" t="s">
        <v>60</v>
      </c>
      <c r="G76" s="1" t="str">
        <f>VLOOKUP(gminy_26[[#This Row],[kod strefy]],strefy_26[],2,FALSE)</f>
        <v>strefa świętokrzyska</v>
      </c>
      <c r="H76" s="35">
        <v>73140</v>
      </c>
      <c r="I76" s="35">
        <v>0</v>
      </c>
      <c r="J76" s="35">
        <v>2570</v>
      </c>
      <c r="K76" s="35">
        <v>4820</v>
      </c>
      <c r="L76" s="35">
        <v>5470</v>
      </c>
      <c r="M76" s="35">
        <v>18730</v>
      </c>
      <c r="N76" s="35">
        <v>18730</v>
      </c>
      <c r="O76" s="38">
        <v>22820</v>
      </c>
      <c r="P76" s="38">
        <v>1</v>
      </c>
      <c r="Q76" s="38">
        <v>20</v>
      </c>
    </row>
    <row r="77" spans="1:17" x14ac:dyDescent="0.2">
      <c r="A77" s="1" t="s">
        <v>240</v>
      </c>
      <c r="B77" s="1" t="s">
        <v>241</v>
      </c>
      <c r="C77" s="1" t="str">
        <f>gminy_26[[#This Row],[kod gminy]]</f>
        <v>2613052</v>
      </c>
      <c r="D77" s="1" t="s">
        <v>74</v>
      </c>
      <c r="E77" s="1" t="str">
        <f>VLOOKUP(gminy_26[[#This Row],[kod powiatu]],powiaty_26[],katalogi!$B$1,FALSE)</f>
        <v>włoszczowski</v>
      </c>
      <c r="F77" s="1" t="s">
        <v>60</v>
      </c>
      <c r="G77" s="1" t="str">
        <f>VLOOKUP(gminy_26[[#This Row],[kod strefy]],strefy_26[],2,FALSE)</f>
        <v>strefa świętokrzyska</v>
      </c>
      <c r="H77" s="35">
        <v>38170</v>
      </c>
      <c r="I77" s="35">
        <v>0</v>
      </c>
      <c r="J77" s="35">
        <v>540</v>
      </c>
      <c r="K77" s="35">
        <v>1010</v>
      </c>
      <c r="L77" s="35">
        <v>1140</v>
      </c>
      <c r="M77" s="35">
        <v>10780</v>
      </c>
      <c r="N77" s="35">
        <v>10780</v>
      </c>
      <c r="O77" s="38">
        <v>13920</v>
      </c>
      <c r="P77" s="38">
        <v>1</v>
      </c>
      <c r="Q77" s="38">
        <v>5</v>
      </c>
    </row>
    <row r="78" spans="1:17" x14ac:dyDescent="0.2">
      <c r="A78" s="1" t="s">
        <v>242</v>
      </c>
      <c r="B78" s="1" t="s">
        <v>243</v>
      </c>
      <c r="C78" s="1" t="str">
        <f>gminy_26[[#This Row],[kod gminy]]</f>
        <v>2602063</v>
      </c>
      <c r="D78" s="1" t="s">
        <v>63</v>
      </c>
      <c r="E78" s="1" t="str">
        <f>VLOOKUP(gminy_26[[#This Row],[kod powiatu]],powiaty_26[],katalogi!$B$1,FALSE)</f>
        <v>jędrzejowski</v>
      </c>
      <c r="F78" s="1" t="s">
        <v>60</v>
      </c>
      <c r="G78" s="1" t="str">
        <f>VLOOKUP(gminy_26[[#This Row],[kod strefy]],strefy_26[],2,FALSE)</f>
        <v>strefa świętokrzyska</v>
      </c>
      <c r="H78" s="35">
        <v>127570</v>
      </c>
      <c r="I78" s="35">
        <v>0</v>
      </c>
      <c r="J78" s="35">
        <v>5390</v>
      </c>
      <c r="K78" s="35">
        <v>10110</v>
      </c>
      <c r="L78" s="35">
        <v>11460</v>
      </c>
      <c r="M78" s="35">
        <v>31530</v>
      </c>
      <c r="N78" s="35">
        <v>31530</v>
      </c>
      <c r="O78" s="38">
        <v>37550</v>
      </c>
      <c r="P78" s="38">
        <v>1</v>
      </c>
      <c r="Q78" s="38">
        <v>20</v>
      </c>
    </row>
    <row r="79" spans="1:17" x14ac:dyDescent="0.2">
      <c r="A79" s="1" t="s">
        <v>245</v>
      </c>
      <c r="B79" s="1" t="s">
        <v>246</v>
      </c>
      <c r="C79" s="1" t="str">
        <f>gminy_26[[#This Row],[kod gminy]]</f>
        <v>2603053</v>
      </c>
      <c r="D79" s="1" t="s">
        <v>64</v>
      </c>
      <c r="E79" s="1" t="str">
        <f>VLOOKUP(gminy_26[[#This Row],[kod powiatu]],powiaty_26[],katalogi!$B$1,FALSE)</f>
        <v>kazimierski</v>
      </c>
      <c r="F79" s="1" t="s">
        <v>60</v>
      </c>
      <c r="G79" s="1" t="str">
        <f>VLOOKUP(gminy_26[[#This Row],[kod strefy]],strefy_26[],2,FALSE)</f>
        <v>strefa świętokrzyska</v>
      </c>
      <c r="H79" s="35">
        <v>47650</v>
      </c>
      <c r="I79" s="35">
        <v>0</v>
      </c>
      <c r="J79" s="35">
        <v>1370</v>
      </c>
      <c r="K79" s="35">
        <v>2570</v>
      </c>
      <c r="L79" s="35">
        <v>2920</v>
      </c>
      <c r="M79" s="35">
        <v>12580</v>
      </c>
      <c r="N79" s="35">
        <v>12580</v>
      </c>
      <c r="O79" s="38">
        <v>15630</v>
      </c>
      <c r="P79" s="38">
        <v>1</v>
      </c>
      <c r="Q79" s="38">
        <v>20</v>
      </c>
    </row>
    <row r="80" spans="1:17" x14ac:dyDescent="0.2">
      <c r="A80" s="1" t="s">
        <v>247</v>
      </c>
      <c r="B80" s="1" t="s">
        <v>248</v>
      </c>
      <c r="C80" s="1" t="str">
        <f>gminy_26[[#This Row],[kod gminy]]</f>
        <v>2610042</v>
      </c>
      <c r="D80" s="1" t="s">
        <v>71</v>
      </c>
      <c r="E80" s="1" t="str">
        <f>VLOOKUP(gminy_26[[#This Row],[kod powiatu]],powiaty_26[],katalogi!$B$1,FALSE)</f>
        <v>skarżyski</v>
      </c>
      <c r="F80" s="1" t="s">
        <v>60</v>
      </c>
      <c r="G80" s="1" t="str">
        <f>VLOOKUP(gminy_26[[#This Row],[kod strefy]],strefy_26[],2,FALSE)</f>
        <v>strefa świętokrzyska</v>
      </c>
      <c r="H80" s="35">
        <v>64660</v>
      </c>
      <c r="I80" s="35">
        <v>0</v>
      </c>
      <c r="J80" s="35">
        <v>1720</v>
      </c>
      <c r="K80" s="35">
        <v>3220</v>
      </c>
      <c r="L80" s="35">
        <v>3650</v>
      </c>
      <c r="M80" s="35">
        <v>17250</v>
      </c>
      <c r="N80" s="35">
        <v>17250</v>
      </c>
      <c r="O80" s="38">
        <v>21570</v>
      </c>
      <c r="P80" s="38">
        <v>1</v>
      </c>
      <c r="Q80" s="38">
        <v>5</v>
      </c>
    </row>
    <row r="81" spans="1:17" x14ac:dyDescent="0.2">
      <c r="A81" s="1" t="s">
        <v>249</v>
      </c>
      <c r="B81" s="1" t="s">
        <v>250</v>
      </c>
      <c r="C81" s="1" t="str">
        <f>gminy_26[[#This Row],[kod gminy]]</f>
        <v>2610011</v>
      </c>
      <c r="D81" s="1" t="s">
        <v>71</v>
      </c>
      <c r="E81" s="1" t="str">
        <f>VLOOKUP(gminy_26[[#This Row],[kod powiatu]],powiaty_26[],katalogi!$B$1,FALSE)</f>
        <v>skarżyski</v>
      </c>
      <c r="F81" s="1" t="s">
        <v>60</v>
      </c>
      <c r="G81" s="1" t="str">
        <f>VLOOKUP(gminy_26[[#This Row],[kod strefy]],strefy_26[],2,FALSE)</f>
        <v>strefa świętokrzyska</v>
      </c>
      <c r="H81" s="35">
        <v>259800</v>
      </c>
      <c r="I81" s="35">
        <v>0</v>
      </c>
      <c r="J81" s="35">
        <v>6920</v>
      </c>
      <c r="K81" s="35">
        <v>12980</v>
      </c>
      <c r="L81" s="35">
        <v>14700</v>
      </c>
      <c r="M81" s="35">
        <v>69290</v>
      </c>
      <c r="N81" s="35">
        <v>69290</v>
      </c>
      <c r="O81" s="38">
        <v>86620</v>
      </c>
      <c r="P81" s="38">
        <v>1</v>
      </c>
      <c r="Q81" s="38">
        <v>20</v>
      </c>
    </row>
    <row r="82" spans="1:17" x14ac:dyDescent="0.2">
      <c r="A82" s="1" t="s">
        <v>251</v>
      </c>
      <c r="B82" s="1" t="s">
        <v>252</v>
      </c>
      <c r="C82" s="1" t="str">
        <f>gminy_26[[#This Row],[kod gminy]]</f>
        <v>2602072</v>
      </c>
      <c r="D82" s="1" t="s">
        <v>63</v>
      </c>
      <c r="E82" s="1" t="str">
        <f>VLOOKUP(gminy_26[[#This Row],[kod powiatu]],powiaty_26[],katalogi!$B$1,FALSE)</f>
        <v>jędrzejowski</v>
      </c>
      <c r="F82" s="1" t="s">
        <v>60</v>
      </c>
      <c r="G82" s="1" t="str">
        <f>VLOOKUP(gminy_26[[#This Row],[kod strefy]],strefy_26[],2,FALSE)</f>
        <v>strefa świętokrzyska</v>
      </c>
      <c r="H82" s="35">
        <v>46240</v>
      </c>
      <c r="I82" s="35">
        <v>0</v>
      </c>
      <c r="J82" s="35">
        <v>1930</v>
      </c>
      <c r="K82" s="35">
        <v>3620</v>
      </c>
      <c r="L82" s="35">
        <v>4100</v>
      </c>
      <c r="M82" s="35">
        <v>11460</v>
      </c>
      <c r="N82" s="35">
        <v>11460</v>
      </c>
      <c r="O82" s="38">
        <v>13670</v>
      </c>
      <c r="P82" s="38">
        <v>1</v>
      </c>
      <c r="Q82" s="38">
        <v>5</v>
      </c>
    </row>
    <row r="83" spans="1:17" x14ac:dyDescent="0.2">
      <c r="A83" s="1" t="s">
        <v>253</v>
      </c>
      <c r="B83" s="1" t="s">
        <v>500</v>
      </c>
      <c r="C83" s="1" t="str">
        <f>gminy_26[[#This Row],[kod gminy]]</f>
        <v>2605062</v>
      </c>
      <c r="D83" s="1" t="s">
        <v>66</v>
      </c>
      <c r="E83" s="1" t="str">
        <f>VLOOKUP(gminy_26[[#This Row],[kod powiatu]],powiaty_26[],katalogi!$B$1,FALSE)</f>
        <v>konecki</v>
      </c>
      <c r="F83" s="1" t="s">
        <v>60</v>
      </c>
      <c r="G83" s="1" t="str">
        <f>VLOOKUP(gminy_26[[#This Row],[kod strefy]],strefy_26[],2,FALSE)</f>
        <v>strefa świętokrzyska</v>
      </c>
      <c r="H83" s="35">
        <v>33300</v>
      </c>
      <c r="I83" s="35">
        <v>0</v>
      </c>
      <c r="J83" s="35">
        <v>1000</v>
      </c>
      <c r="K83" s="35">
        <v>1860</v>
      </c>
      <c r="L83" s="35">
        <v>2110</v>
      </c>
      <c r="M83" s="35">
        <v>8750</v>
      </c>
      <c r="N83" s="35">
        <v>8750</v>
      </c>
      <c r="O83" s="38">
        <v>10830</v>
      </c>
      <c r="P83" s="38">
        <v>1</v>
      </c>
      <c r="Q83" s="38">
        <v>5</v>
      </c>
    </row>
    <row r="84" spans="1:17" x14ac:dyDescent="0.2">
      <c r="A84" s="1" t="s">
        <v>254</v>
      </c>
      <c r="B84" s="1" t="s">
        <v>255</v>
      </c>
      <c r="C84" s="1" t="str">
        <f>gminy_26[[#This Row],[kod gminy]]</f>
        <v>2605072</v>
      </c>
      <c r="D84" s="1" t="s">
        <v>66</v>
      </c>
      <c r="E84" s="1" t="str">
        <f>VLOOKUP(gminy_26[[#This Row],[kod powiatu]],powiaty_26[],katalogi!$B$1,FALSE)</f>
        <v>konecki</v>
      </c>
      <c r="F84" s="1" t="s">
        <v>60</v>
      </c>
      <c r="G84" s="1" t="str">
        <f>VLOOKUP(gminy_26[[#This Row],[kod strefy]],strefy_26[],2,FALSE)</f>
        <v>strefa świętokrzyska</v>
      </c>
      <c r="H84" s="35">
        <v>38060</v>
      </c>
      <c r="I84" s="35">
        <v>0</v>
      </c>
      <c r="J84" s="35">
        <v>1150</v>
      </c>
      <c r="K84" s="35">
        <v>2160</v>
      </c>
      <c r="L84" s="35">
        <v>2440</v>
      </c>
      <c r="M84" s="35">
        <v>9980</v>
      </c>
      <c r="N84" s="35">
        <v>9980</v>
      </c>
      <c r="O84" s="38">
        <v>12350</v>
      </c>
      <c r="P84" s="38">
        <v>1</v>
      </c>
      <c r="Q84" s="38">
        <v>5</v>
      </c>
    </row>
    <row r="85" spans="1:17" x14ac:dyDescent="0.2">
      <c r="A85" s="1" t="s">
        <v>256</v>
      </c>
      <c r="B85" s="1" t="s">
        <v>257</v>
      </c>
      <c r="C85" s="1" t="str">
        <f>gminy_26[[#This Row],[kod gminy]]</f>
        <v>2602082</v>
      </c>
      <c r="D85" s="1" t="s">
        <v>63</v>
      </c>
      <c r="E85" s="1" t="str">
        <f>VLOOKUP(gminy_26[[#This Row],[kod powiatu]],powiaty_26[],katalogi!$B$1,FALSE)</f>
        <v>jędrzejowski</v>
      </c>
      <c r="F85" s="1" t="s">
        <v>60</v>
      </c>
      <c r="G85" s="1" t="str">
        <f>VLOOKUP(gminy_26[[#This Row],[kod strefy]],strefy_26[],2,FALSE)</f>
        <v>strefa świętokrzyska</v>
      </c>
      <c r="H85" s="35">
        <v>91020</v>
      </c>
      <c r="I85" s="35">
        <v>0</v>
      </c>
      <c r="J85" s="35">
        <v>3810</v>
      </c>
      <c r="K85" s="35">
        <v>7130</v>
      </c>
      <c r="L85" s="35">
        <v>8080</v>
      </c>
      <c r="M85" s="35">
        <v>22550</v>
      </c>
      <c r="N85" s="35">
        <v>22550</v>
      </c>
      <c r="O85" s="38">
        <v>26900</v>
      </c>
      <c r="P85" s="38">
        <v>1</v>
      </c>
      <c r="Q85" s="38">
        <v>5</v>
      </c>
    </row>
    <row r="86" spans="1:17" x14ac:dyDescent="0.2">
      <c r="A86" s="1" t="s">
        <v>258</v>
      </c>
      <c r="B86" s="1" t="s">
        <v>259</v>
      </c>
      <c r="C86" s="1" t="str">
        <f>gminy_26[[#This Row],[kod gminy]]</f>
        <v>2601052</v>
      </c>
      <c r="D86" s="1" t="s">
        <v>62</v>
      </c>
      <c r="E86" s="1" t="str">
        <f>VLOOKUP(gminy_26[[#This Row],[kod powiatu]],powiaty_26[],katalogi!$B$1,FALSE)</f>
        <v>buski</v>
      </c>
      <c r="F86" s="1" t="s">
        <v>60</v>
      </c>
      <c r="G86" s="1" t="str">
        <f>VLOOKUP(gminy_26[[#This Row],[kod strefy]],strefy_26[],2,FALSE)</f>
        <v>strefa świętokrzyska</v>
      </c>
      <c r="H86" s="35">
        <v>42560</v>
      </c>
      <c r="I86" s="35">
        <v>0</v>
      </c>
      <c r="J86" s="35">
        <v>1770</v>
      </c>
      <c r="K86" s="35">
        <v>3320</v>
      </c>
      <c r="L86" s="35">
        <v>3770</v>
      </c>
      <c r="M86" s="35">
        <v>10550</v>
      </c>
      <c r="N86" s="35">
        <v>10550</v>
      </c>
      <c r="O86" s="38">
        <v>12600</v>
      </c>
      <c r="P86" s="38">
        <v>1</v>
      </c>
      <c r="Q86" s="38">
        <v>5</v>
      </c>
    </row>
    <row r="87" spans="1:17" x14ac:dyDescent="0.2">
      <c r="A87" s="1" t="s">
        <v>260</v>
      </c>
      <c r="B87" s="1" t="s">
        <v>261</v>
      </c>
      <c r="C87" s="1" t="str">
        <f>gminy_26[[#This Row],[kod gminy]]</f>
        <v>2611011</v>
      </c>
      <c r="D87" s="1" t="s">
        <v>72</v>
      </c>
      <c r="E87" s="1" t="str">
        <f>VLOOKUP(gminy_26[[#This Row],[kod powiatu]],powiaty_26[],katalogi!$B$1,FALSE)</f>
        <v>starachowicki</v>
      </c>
      <c r="F87" s="1" t="s">
        <v>60</v>
      </c>
      <c r="G87" s="1" t="str">
        <f>VLOOKUP(gminy_26[[#This Row],[kod strefy]],strefy_26[],2,FALSE)</f>
        <v>strefa świętokrzyska</v>
      </c>
      <c r="H87" s="35">
        <v>279880</v>
      </c>
      <c r="I87" s="35">
        <v>0</v>
      </c>
      <c r="J87" s="35">
        <v>7990</v>
      </c>
      <c r="K87" s="35">
        <v>14980</v>
      </c>
      <c r="L87" s="35">
        <v>16970</v>
      </c>
      <c r="M87" s="35">
        <v>73980</v>
      </c>
      <c r="N87" s="35">
        <v>73980</v>
      </c>
      <c r="O87" s="38">
        <v>91980</v>
      </c>
      <c r="P87" s="38">
        <v>1</v>
      </c>
      <c r="Q87" s="38">
        <v>20</v>
      </c>
    </row>
    <row r="88" spans="1:17" x14ac:dyDescent="0.2">
      <c r="A88" s="1" t="s">
        <v>262</v>
      </c>
      <c r="B88" s="1" t="s">
        <v>263</v>
      </c>
      <c r="C88" s="1" t="str">
        <f>gminy_26[[#This Row],[kod gminy]]</f>
        <v>2612073</v>
      </c>
      <c r="D88" s="1" t="s">
        <v>73</v>
      </c>
      <c r="E88" s="1" t="str">
        <f>VLOOKUP(gminy_26[[#This Row],[kod powiatu]],powiaty_26[],katalogi!$B$1,FALSE)</f>
        <v>staszowski</v>
      </c>
      <c r="F88" s="1" t="s">
        <v>60</v>
      </c>
      <c r="G88" s="1" t="str">
        <f>VLOOKUP(gminy_26[[#This Row],[kod strefy]],strefy_26[],2,FALSE)</f>
        <v>strefa świętokrzyska</v>
      </c>
      <c r="H88" s="35">
        <v>189050</v>
      </c>
      <c r="I88" s="35">
        <v>0</v>
      </c>
      <c r="J88" s="35">
        <v>11230</v>
      </c>
      <c r="K88" s="35">
        <v>21050</v>
      </c>
      <c r="L88" s="35">
        <v>23860</v>
      </c>
      <c r="M88" s="35">
        <v>42680</v>
      </c>
      <c r="N88" s="35">
        <v>42680</v>
      </c>
      <c r="O88" s="38">
        <v>47550</v>
      </c>
      <c r="P88" s="38">
        <v>1</v>
      </c>
      <c r="Q88" s="38">
        <v>20</v>
      </c>
    </row>
    <row r="89" spans="1:17" x14ac:dyDescent="0.2">
      <c r="A89" s="1" t="s">
        <v>264</v>
      </c>
      <c r="B89" s="1" t="s">
        <v>265</v>
      </c>
      <c r="C89" s="1" t="str">
        <f>gminy_26[[#This Row],[kod gminy]]</f>
        <v>2605083</v>
      </c>
      <c r="D89" s="1" t="s">
        <v>66</v>
      </c>
      <c r="E89" s="1" t="str">
        <f>VLOOKUP(gminy_26[[#This Row],[kod powiatu]],powiaty_26[],katalogi!$B$1,FALSE)</f>
        <v>konecki</v>
      </c>
      <c r="F89" s="1" t="s">
        <v>60</v>
      </c>
      <c r="G89" s="1" t="str">
        <f>VLOOKUP(gminy_26[[#This Row],[kod strefy]],strefy_26[],2,FALSE)</f>
        <v>strefa świętokrzyska</v>
      </c>
      <c r="H89" s="35">
        <v>152010</v>
      </c>
      <c r="I89" s="35">
        <v>0</v>
      </c>
      <c r="J89" s="35">
        <v>4580</v>
      </c>
      <c r="K89" s="35">
        <v>8580</v>
      </c>
      <c r="L89" s="35">
        <v>9730</v>
      </c>
      <c r="M89" s="35">
        <v>39880</v>
      </c>
      <c r="N89" s="35">
        <v>39880</v>
      </c>
      <c r="O89" s="38">
        <v>49360</v>
      </c>
      <c r="P89" s="38">
        <v>1</v>
      </c>
      <c r="Q89" s="38">
        <v>20</v>
      </c>
    </row>
    <row r="90" spans="1:17" x14ac:dyDescent="0.2">
      <c r="A90" s="1" t="s">
        <v>266</v>
      </c>
      <c r="B90" s="1" t="s">
        <v>267</v>
      </c>
      <c r="C90" s="1" t="str">
        <f>gminy_26[[#This Row],[kod gminy]]</f>
        <v>2601063</v>
      </c>
      <c r="D90" s="1" t="s">
        <v>62</v>
      </c>
      <c r="E90" s="1" t="str">
        <f>VLOOKUP(gminy_26[[#This Row],[kod powiatu]],powiaty_26[],katalogi!$B$1,FALSE)</f>
        <v>buski</v>
      </c>
      <c r="F90" s="1" t="s">
        <v>60</v>
      </c>
      <c r="G90" s="1" t="str">
        <f>VLOOKUP(gminy_26[[#This Row],[kod strefy]],strefy_26[],2,FALSE)</f>
        <v>strefa świętokrzyska</v>
      </c>
      <c r="H90" s="35">
        <v>74030</v>
      </c>
      <c r="I90" s="35">
        <v>0</v>
      </c>
      <c r="J90" s="35">
        <v>3120</v>
      </c>
      <c r="K90" s="35">
        <v>5850</v>
      </c>
      <c r="L90" s="35">
        <v>6630</v>
      </c>
      <c r="M90" s="35">
        <v>18310</v>
      </c>
      <c r="N90" s="35">
        <v>18310</v>
      </c>
      <c r="O90" s="38">
        <v>21810</v>
      </c>
      <c r="P90" s="38">
        <v>1</v>
      </c>
      <c r="Q90" s="38">
        <v>20</v>
      </c>
    </row>
    <row r="91" spans="1:17" x14ac:dyDescent="0.2">
      <c r="A91" s="1" t="s">
        <v>268</v>
      </c>
      <c r="B91" s="1" t="s">
        <v>269</v>
      </c>
      <c r="C91" s="1" t="str">
        <f>gminy_26[[#This Row],[kod gminy]]</f>
        <v>2604182</v>
      </c>
      <c r="D91" s="1" t="s">
        <v>65</v>
      </c>
      <c r="E91" s="1" t="str">
        <f>VLOOKUP(gminy_26[[#This Row],[kod powiatu]],powiaty_26[],katalogi!$B$1,FALSE)</f>
        <v>kielecki</v>
      </c>
      <c r="F91" s="1" t="s">
        <v>60</v>
      </c>
      <c r="G91" s="1" t="str">
        <f>VLOOKUP(gminy_26[[#This Row],[kod strefy]],strefy_26[],2,FALSE)</f>
        <v>strefa świętokrzyska</v>
      </c>
      <c r="H91" s="35">
        <v>127580</v>
      </c>
      <c r="I91" s="35">
        <v>0</v>
      </c>
      <c r="J91" s="35">
        <v>5070</v>
      </c>
      <c r="K91" s="35">
        <v>9500</v>
      </c>
      <c r="L91" s="35">
        <v>10760</v>
      </c>
      <c r="M91" s="35">
        <v>31940</v>
      </c>
      <c r="N91" s="35">
        <v>31940</v>
      </c>
      <c r="O91" s="38">
        <v>38370</v>
      </c>
      <c r="P91" s="38">
        <v>1</v>
      </c>
      <c r="Q91" s="38">
        <v>5</v>
      </c>
    </row>
    <row r="92" spans="1:17" x14ac:dyDescent="0.2">
      <c r="A92" s="1" t="s">
        <v>270</v>
      </c>
      <c r="B92" s="1" t="s">
        <v>271</v>
      </c>
      <c r="C92" s="1" t="str">
        <f>gminy_26[[#This Row],[kod gminy]]</f>
        <v>2610053</v>
      </c>
      <c r="D92" s="1" t="s">
        <v>71</v>
      </c>
      <c r="E92" s="1" t="str">
        <f>VLOOKUP(gminy_26[[#This Row],[kod powiatu]],powiaty_26[],katalogi!$B$1,FALSE)</f>
        <v>skarżyski</v>
      </c>
      <c r="F92" s="1" t="s">
        <v>60</v>
      </c>
      <c r="G92" s="1" t="str">
        <f>VLOOKUP(gminy_26[[#This Row],[kod strefy]],strefy_26[],2,FALSE)</f>
        <v>strefa świętokrzyska</v>
      </c>
      <c r="H92" s="35">
        <v>86450</v>
      </c>
      <c r="I92" s="35">
        <v>0</v>
      </c>
      <c r="J92" s="35">
        <v>2260</v>
      </c>
      <c r="K92" s="35">
        <v>4240</v>
      </c>
      <c r="L92" s="35">
        <v>4800</v>
      </c>
      <c r="M92" s="35">
        <v>23110</v>
      </c>
      <c r="N92" s="35">
        <v>23110</v>
      </c>
      <c r="O92" s="38">
        <v>28930</v>
      </c>
      <c r="P92" s="38">
        <v>1</v>
      </c>
      <c r="Q92" s="38">
        <v>20</v>
      </c>
    </row>
    <row r="93" spans="1:17" x14ac:dyDescent="0.2">
      <c r="A93" s="1" t="s">
        <v>272</v>
      </c>
      <c r="B93" s="1" t="s">
        <v>273</v>
      </c>
      <c r="C93" s="1" t="str">
        <f>gminy_26[[#This Row],[kod gminy]]</f>
        <v>2612082</v>
      </c>
      <c r="D93" s="1" t="s">
        <v>73</v>
      </c>
      <c r="E93" s="1" t="str">
        <f>VLOOKUP(gminy_26[[#This Row],[kod powiatu]],powiaty_26[],katalogi!$B$1,FALSE)</f>
        <v>staszowski</v>
      </c>
      <c r="F93" s="1" t="s">
        <v>60</v>
      </c>
      <c r="G93" s="1" t="str">
        <f>VLOOKUP(gminy_26[[#This Row],[kod strefy]],strefy_26[],2,FALSE)</f>
        <v>strefa świętokrzyska</v>
      </c>
      <c r="H93" s="35">
        <v>46840</v>
      </c>
      <c r="I93" s="35">
        <v>0</v>
      </c>
      <c r="J93" s="35">
        <v>2760</v>
      </c>
      <c r="K93" s="35">
        <v>5160</v>
      </c>
      <c r="L93" s="35">
        <v>5850</v>
      </c>
      <c r="M93" s="35">
        <v>10610</v>
      </c>
      <c r="N93" s="35">
        <v>10610</v>
      </c>
      <c r="O93" s="38">
        <v>11850</v>
      </c>
      <c r="P93" s="38">
        <v>1</v>
      </c>
      <c r="Q93" s="38">
        <v>20</v>
      </c>
    </row>
    <row r="94" spans="1:17" x14ac:dyDescent="0.2">
      <c r="A94" s="1" t="s">
        <v>274</v>
      </c>
      <c r="B94" s="1" t="s">
        <v>275</v>
      </c>
      <c r="C94" s="1" t="str">
        <f>gminy_26[[#This Row],[kod gminy]]</f>
        <v>2606072</v>
      </c>
      <c r="D94" s="1" t="s">
        <v>67</v>
      </c>
      <c r="E94" s="1" t="str">
        <f>VLOOKUP(gminy_26[[#This Row],[kod powiatu]],powiaty_26[],katalogi!$B$1,FALSE)</f>
        <v>opatowski</v>
      </c>
      <c r="F94" s="1" t="s">
        <v>60</v>
      </c>
      <c r="G94" s="1" t="str">
        <f>VLOOKUP(gminy_26[[#This Row],[kod strefy]],strefy_26[],2,FALSE)</f>
        <v>strefa świętokrzyska</v>
      </c>
      <c r="H94" s="35">
        <v>35980</v>
      </c>
      <c r="I94" s="35">
        <v>0</v>
      </c>
      <c r="J94" s="35">
        <v>260</v>
      </c>
      <c r="K94" s="35">
        <v>480</v>
      </c>
      <c r="L94" s="35">
        <v>550</v>
      </c>
      <c r="M94" s="35">
        <v>10470</v>
      </c>
      <c r="N94" s="35">
        <v>10470</v>
      </c>
      <c r="O94" s="38">
        <v>13750</v>
      </c>
      <c r="P94" s="38">
        <v>1</v>
      </c>
      <c r="Q94" s="38">
        <v>5</v>
      </c>
    </row>
    <row r="95" spans="1:17" x14ac:dyDescent="0.2">
      <c r="A95" s="1" t="s">
        <v>276</v>
      </c>
      <c r="B95" s="1" t="s">
        <v>277</v>
      </c>
      <c r="C95" s="1" t="str">
        <f>gminy_26[[#This Row],[kod gminy]]</f>
        <v>2601072</v>
      </c>
      <c r="D95" s="1" t="s">
        <v>62</v>
      </c>
      <c r="E95" s="1" t="str">
        <f>VLOOKUP(gminy_26[[#This Row],[kod powiatu]],powiaty_26[],katalogi!$B$1,FALSE)</f>
        <v>buski</v>
      </c>
      <c r="F95" s="1" t="s">
        <v>60</v>
      </c>
      <c r="G95" s="1" t="str">
        <f>VLOOKUP(gminy_26[[#This Row],[kod strefy]],strefy_26[],2,FALSE)</f>
        <v>strefa świętokrzyska</v>
      </c>
      <c r="H95" s="35">
        <v>34900</v>
      </c>
      <c r="I95" s="35">
        <v>0</v>
      </c>
      <c r="J95" s="35">
        <v>1460</v>
      </c>
      <c r="K95" s="35">
        <v>2730</v>
      </c>
      <c r="L95" s="35">
        <v>3100</v>
      </c>
      <c r="M95" s="35">
        <v>8650</v>
      </c>
      <c r="N95" s="35">
        <v>8650</v>
      </c>
      <c r="O95" s="38">
        <v>10310</v>
      </c>
      <c r="P95" s="38">
        <v>1</v>
      </c>
      <c r="Q95" s="38">
        <v>5</v>
      </c>
    </row>
    <row r="96" spans="1:17" x14ac:dyDescent="0.2">
      <c r="A96" s="1" t="s">
        <v>278</v>
      </c>
      <c r="B96" s="1" t="s">
        <v>279</v>
      </c>
      <c r="C96" s="1" t="str">
        <f>gminy_26[[#This Row],[kod gminy]]</f>
        <v>2607062</v>
      </c>
      <c r="D96" s="1" t="s">
        <v>68</v>
      </c>
      <c r="E96" s="1" t="str">
        <f>VLOOKUP(gminy_26[[#This Row],[kod powiatu]],powiaty_26[],katalogi!$B$1,FALSE)</f>
        <v>ostrowiecki</v>
      </c>
      <c r="F96" s="1" t="s">
        <v>60</v>
      </c>
      <c r="G96" s="1" t="str">
        <f>VLOOKUP(gminy_26[[#This Row],[kod strefy]],strefy_26[],2,FALSE)</f>
        <v>strefa świętokrzyska</v>
      </c>
      <c r="H96" s="35">
        <v>76760</v>
      </c>
      <c r="I96" s="35">
        <v>0</v>
      </c>
      <c r="J96" s="35">
        <v>3320</v>
      </c>
      <c r="K96" s="35">
        <v>6220</v>
      </c>
      <c r="L96" s="35">
        <v>7050</v>
      </c>
      <c r="M96" s="35">
        <v>18880</v>
      </c>
      <c r="N96" s="35">
        <v>18880</v>
      </c>
      <c r="O96" s="38">
        <v>22410</v>
      </c>
      <c r="P96" s="38">
        <v>1</v>
      </c>
      <c r="Q96" s="38">
        <v>5</v>
      </c>
    </row>
    <row r="97" spans="1:17" x14ac:dyDescent="0.2">
      <c r="A97" s="1" t="s">
        <v>280</v>
      </c>
      <c r="B97" s="1" t="s">
        <v>281</v>
      </c>
      <c r="C97" s="1" t="str">
        <f>gminy_26[[#This Row],[kod gminy]]</f>
        <v>2611053</v>
      </c>
      <c r="D97" s="1" t="s">
        <v>72</v>
      </c>
      <c r="E97" s="1" t="str">
        <f>VLOOKUP(gminy_26[[#This Row],[kod powiatu]],powiaty_26[],katalogi!$B$1,FALSE)</f>
        <v>starachowicki</v>
      </c>
      <c r="F97" s="1" t="s">
        <v>60</v>
      </c>
      <c r="G97" s="1" t="str">
        <f>VLOOKUP(gminy_26[[#This Row],[kod strefy]],strefy_26[],2,FALSE)</f>
        <v>strefa świętokrzyska</v>
      </c>
      <c r="H97" s="35">
        <v>58330</v>
      </c>
      <c r="I97" s="35">
        <v>0</v>
      </c>
      <c r="J97" s="35">
        <v>1620</v>
      </c>
      <c r="K97" s="35">
        <v>3030</v>
      </c>
      <c r="L97" s="35">
        <v>3430</v>
      </c>
      <c r="M97" s="35">
        <v>15480</v>
      </c>
      <c r="N97" s="35">
        <v>15480</v>
      </c>
      <c r="O97" s="38">
        <v>19290</v>
      </c>
      <c r="P97" s="38">
        <v>1</v>
      </c>
      <c r="Q97" s="38">
        <v>20</v>
      </c>
    </row>
    <row r="98" spans="1:17" x14ac:dyDescent="0.2">
      <c r="A98" s="1" t="s">
        <v>282</v>
      </c>
      <c r="B98" s="1" t="s">
        <v>283</v>
      </c>
      <c r="C98" s="1" t="str">
        <f>gminy_26[[#This Row],[kod gminy]]</f>
        <v>2609082</v>
      </c>
      <c r="D98" s="1" t="s">
        <v>70</v>
      </c>
      <c r="E98" s="1" t="str">
        <f>VLOOKUP(gminy_26[[#This Row],[kod powiatu]],powiaty_26[],katalogi!$B$1,FALSE)</f>
        <v>sandomierski</v>
      </c>
      <c r="F98" s="1" t="s">
        <v>60</v>
      </c>
      <c r="G98" s="1" t="str">
        <f>VLOOKUP(gminy_26[[#This Row],[kod strefy]],strefy_26[],2,FALSE)</f>
        <v>strefa świętokrzyska</v>
      </c>
      <c r="H98" s="35">
        <v>21340</v>
      </c>
      <c r="I98" s="35">
        <v>0</v>
      </c>
      <c r="J98" s="35">
        <v>730</v>
      </c>
      <c r="K98" s="35">
        <v>1370</v>
      </c>
      <c r="L98" s="35">
        <v>1550</v>
      </c>
      <c r="M98" s="35">
        <v>5490</v>
      </c>
      <c r="N98" s="35">
        <v>5490</v>
      </c>
      <c r="O98" s="38">
        <v>6710</v>
      </c>
      <c r="P98" s="38">
        <v>1</v>
      </c>
      <c r="Q98" s="38">
        <v>5</v>
      </c>
    </row>
    <row r="99" spans="1:17" x14ac:dyDescent="0.2">
      <c r="A99" s="1" t="s">
        <v>284</v>
      </c>
      <c r="B99" s="1" t="s">
        <v>285</v>
      </c>
      <c r="C99" s="1" t="str">
        <f>gminy_26[[#This Row],[kod gminy]]</f>
        <v>2601083</v>
      </c>
      <c r="D99" s="1" t="s">
        <v>62</v>
      </c>
      <c r="E99" s="1" t="str">
        <f>VLOOKUP(gminy_26[[#This Row],[kod powiatu]],powiaty_26[],katalogi!$B$1,FALSE)</f>
        <v>buski</v>
      </c>
      <c r="F99" s="1" t="s">
        <v>60</v>
      </c>
      <c r="G99" s="1" t="str">
        <f>VLOOKUP(gminy_26[[#This Row],[kod strefy]],strefy_26[],2,FALSE)</f>
        <v>strefa świętokrzyska</v>
      </c>
      <c r="H99" s="35">
        <v>53480</v>
      </c>
      <c r="I99" s="35">
        <v>0</v>
      </c>
      <c r="J99" s="35">
        <v>2200</v>
      </c>
      <c r="K99" s="35">
        <v>4110</v>
      </c>
      <c r="L99" s="35">
        <v>4660</v>
      </c>
      <c r="M99" s="35">
        <v>13300</v>
      </c>
      <c r="N99" s="35">
        <v>13300</v>
      </c>
      <c r="O99" s="38">
        <v>15910</v>
      </c>
      <c r="P99" s="38">
        <v>1</v>
      </c>
      <c r="Q99" s="38">
        <v>20</v>
      </c>
    </row>
    <row r="100" spans="1:17" x14ac:dyDescent="0.2">
      <c r="A100" s="1" t="s">
        <v>286</v>
      </c>
      <c r="B100" s="1" t="s">
        <v>287</v>
      </c>
      <c r="C100" s="1" t="str">
        <f>gminy_26[[#This Row],[kod gminy]]</f>
        <v>2613063</v>
      </c>
      <c r="D100" s="1" t="s">
        <v>74</v>
      </c>
      <c r="E100" s="1" t="str">
        <f>VLOOKUP(gminy_26[[#This Row],[kod powiatu]],powiaty_26[],katalogi!$B$1,FALSE)</f>
        <v>włoszczowski</v>
      </c>
      <c r="F100" s="1" t="s">
        <v>60</v>
      </c>
      <c r="G100" s="1" t="str">
        <f>VLOOKUP(gminy_26[[#This Row],[kod strefy]],strefy_26[],2,FALSE)</f>
        <v>strefa świętokrzyska</v>
      </c>
      <c r="H100" s="35">
        <v>138320</v>
      </c>
      <c r="I100" s="35">
        <v>0</v>
      </c>
      <c r="J100" s="35">
        <v>2220</v>
      </c>
      <c r="K100" s="35">
        <v>4150</v>
      </c>
      <c r="L100" s="35">
        <v>4700</v>
      </c>
      <c r="M100" s="35">
        <v>38730</v>
      </c>
      <c r="N100" s="35">
        <v>38730</v>
      </c>
      <c r="O100" s="38">
        <v>49790</v>
      </c>
      <c r="P100" s="38">
        <v>1</v>
      </c>
      <c r="Q100" s="38">
        <v>20</v>
      </c>
    </row>
    <row r="101" spans="1:17" x14ac:dyDescent="0.2">
      <c r="A101" s="1" t="s">
        <v>288</v>
      </c>
      <c r="B101" s="1" t="s">
        <v>289</v>
      </c>
      <c r="C101" s="1" t="str">
        <f>gminy_26[[#This Row],[kod gminy]]</f>
        <v>2602092</v>
      </c>
      <c r="D101" s="1" t="s">
        <v>63</v>
      </c>
      <c r="E101" s="1" t="str">
        <f>VLOOKUP(gminy_26[[#This Row],[kod powiatu]],powiaty_26[],katalogi!$B$1,FALSE)</f>
        <v>jędrzejowski</v>
      </c>
      <c r="F101" s="1" t="s">
        <v>60</v>
      </c>
      <c r="G101" s="1" t="str">
        <f>VLOOKUP(gminy_26[[#This Row],[kod strefy]],strefy_26[],2,FALSE)</f>
        <v>strefa świętokrzyska</v>
      </c>
      <c r="H101" s="35">
        <v>75050</v>
      </c>
      <c r="I101" s="35">
        <v>0</v>
      </c>
      <c r="J101" s="35">
        <v>3130</v>
      </c>
      <c r="K101" s="35">
        <v>5870</v>
      </c>
      <c r="L101" s="35">
        <v>6650</v>
      </c>
      <c r="M101" s="35">
        <v>18600</v>
      </c>
      <c r="N101" s="35">
        <v>18600</v>
      </c>
      <c r="O101" s="38">
        <v>22200</v>
      </c>
      <c r="P101" s="38">
        <v>1</v>
      </c>
      <c r="Q101" s="38">
        <v>20</v>
      </c>
    </row>
    <row r="102" spans="1:17" x14ac:dyDescent="0.2">
      <c r="A102" s="1" t="s">
        <v>290</v>
      </c>
      <c r="B102" s="1" t="s">
        <v>291</v>
      </c>
      <c r="C102" s="1" t="str">
        <f>gminy_26[[#This Row],[kod gminy]]</f>
        <v>2606082</v>
      </c>
      <c r="D102" s="1" t="s">
        <v>67</v>
      </c>
      <c r="E102" s="1" t="str">
        <f>VLOOKUP(gminy_26[[#This Row],[kod powiatu]],powiaty_26[],katalogi!$B$1,FALSE)</f>
        <v>opatowski</v>
      </c>
      <c r="F102" s="1" t="s">
        <v>60</v>
      </c>
      <c r="G102" s="1" t="str">
        <f>VLOOKUP(gminy_26[[#This Row],[kod strefy]],strefy_26[],2,FALSE)</f>
        <v>strefa świętokrzyska</v>
      </c>
      <c r="H102" s="35">
        <v>25670</v>
      </c>
      <c r="I102" s="35">
        <v>0</v>
      </c>
      <c r="J102" s="35">
        <v>210</v>
      </c>
      <c r="K102" s="35">
        <v>390</v>
      </c>
      <c r="L102" s="35">
        <v>440</v>
      </c>
      <c r="M102" s="35">
        <v>7440</v>
      </c>
      <c r="N102" s="35">
        <v>7440</v>
      </c>
      <c r="O102" s="38">
        <v>9750</v>
      </c>
      <c r="P102" s="38">
        <v>1</v>
      </c>
      <c r="Q102" s="38">
        <v>5</v>
      </c>
    </row>
    <row r="103" spans="1:17" x14ac:dyDescent="0.2">
      <c r="A103" s="1" t="s">
        <v>292</v>
      </c>
      <c r="B103" s="1" t="s">
        <v>293</v>
      </c>
      <c r="C103" s="1" t="str">
        <f>gminy_26[[#This Row],[kod gminy]]</f>
        <v>2604192</v>
      </c>
      <c r="D103" s="1" t="s">
        <v>65</v>
      </c>
      <c r="E103" s="1" t="str">
        <f>VLOOKUP(gminy_26[[#This Row],[kod powiatu]],powiaty_26[],katalogi!$B$1,FALSE)</f>
        <v>kielecki</v>
      </c>
      <c r="F103" s="1" t="s">
        <v>60</v>
      </c>
      <c r="G103" s="1" t="str">
        <f>VLOOKUP(gminy_26[[#This Row],[kod strefy]],strefy_26[],2,FALSE)</f>
        <v>strefa świętokrzyska</v>
      </c>
      <c r="H103" s="35">
        <v>106330</v>
      </c>
      <c r="I103" s="35">
        <v>0</v>
      </c>
      <c r="J103" s="35">
        <v>4220</v>
      </c>
      <c r="K103" s="35">
        <v>7920</v>
      </c>
      <c r="L103" s="35">
        <v>8970</v>
      </c>
      <c r="M103" s="35">
        <v>26620</v>
      </c>
      <c r="N103" s="35">
        <v>26620</v>
      </c>
      <c r="O103" s="38">
        <v>31980</v>
      </c>
      <c r="P103" s="38">
        <v>1</v>
      </c>
      <c r="Q103" s="38">
        <v>5</v>
      </c>
    </row>
    <row r="104" spans="1:17" x14ac:dyDescent="0.2">
      <c r="A104" s="1" t="s">
        <v>294</v>
      </c>
      <c r="B104" s="1" t="s">
        <v>295</v>
      </c>
      <c r="C104" s="1" t="str">
        <f>gminy_26[[#This Row],[kod gminy]]</f>
        <v>2609093</v>
      </c>
      <c r="D104" s="1" t="s">
        <v>70</v>
      </c>
      <c r="E104" s="1" t="str">
        <f>VLOOKUP(gminy_26[[#This Row],[kod powiatu]],powiaty_26[],katalogi!$B$1,FALSE)</f>
        <v>sandomierski</v>
      </c>
      <c r="F104" s="1" t="s">
        <v>60</v>
      </c>
      <c r="G104" s="1" t="str">
        <f>VLOOKUP(gminy_26[[#This Row],[kod strefy]],strefy_26[],2,FALSE)</f>
        <v>strefa świętokrzyska</v>
      </c>
      <c r="H104" s="35">
        <v>24790</v>
      </c>
      <c r="I104" s="35">
        <v>0</v>
      </c>
      <c r="J104" s="35">
        <v>850</v>
      </c>
      <c r="K104" s="35">
        <v>1580</v>
      </c>
      <c r="L104" s="35">
        <v>1790</v>
      </c>
      <c r="M104" s="35">
        <v>6380</v>
      </c>
      <c r="N104" s="35">
        <v>6380</v>
      </c>
      <c r="O104" s="38">
        <v>7810</v>
      </c>
      <c r="P104" s="38">
        <v>1</v>
      </c>
      <c r="Q104" s="38">
        <v>20</v>
      </c>
    </row>
    <row r="105" spans="1:17" x14ac:dyDescent="0.2">
      <c r="A105" s="1" t="s">
        <v>296</v>
      </c>
      <c r="B105" s="1" t="s">
        <v>297</v>
      </c>
      <c r="C105" s="1" t="str">
        <f>gminy_26[[#This Row],[kod gminy]]</f>
        <v>2608052</v>
      </c>
      <c r="D105" s="1" t="s">
        <v>69</v>
      </c>
      <c r="E105" s="1" t="str">
        <f>VLOOKUP(gminy_26[[#This Row],[kod powiatu]],powiaty_26[],katalogi!$B$1,FALSE)</f>
        <v>pińczowski</v>
      </c>
      <c r="F105" s="1" t="s">
        <v>60</v>
      </c>
      <c r="G105" s="1" t="str">
        <f>VLOOKUP(gminy_26[[#This Row],[kod strefy]],strefy_26[],2,FALSE)</f>
        <v>strefa świętokrzyska</v>
      </c>
      <c r="H105" s="35">
        <v>46890</v>
      </c>
      <c r="I105" s="35">
        <v>0</v>
      </c>
      <c r="J105" s="35">
        <v>500</v>
      </c>
      <c r="K105" s="35">
        <v>940</v>
      </c>
      <c r="L105" s="35">
        <v>1060</v>
      </c>
      <c r="M105" s="35">
        <v>13440</v>
      </c>
      <c r="N105" s="35">
        <v>13440</v>
      </c>
      <c r="O105" s="38">
        <v>17510</v>
      </c>
      <c r="P105" s="38">
        <v>1</v>
      </c>
      <c r="Q105" s="38">
        <v>5</v>
      </c>
    </row>
    <row r="112" spans="1:17" x14ac:dyDescent="0.2">
      <c r="A112" s="1" t="s">
        <v>470</v>
      </c>
      <c r="B112" s="1" t="s">
        <v>299</v>
      </c>
      <c r="C112" s="1" t="s">
        <v>76</v>
      </c>
      <c r="D112" s="1" t="s">
        <v>77</v>
      </c>
      <c r="E112" s="1" t="s">
        <v>78</v>
      </c>
      <c r="F112" s="1" t="s">
        <v>79</v>
      </c>
      <c r="G112" s="1" t="s">
        <v>80</v>
      </c>
      <c r="H112" s="1" t="s">
        <v>81</v>
      </c>
      <c r="I112" s="1" t="s">
        <v>82</v>
      </c>
      <c r="J112" s="1" t="s">
        <v>83</v>
      </c>
      <c r="K112" s="1" t="s">
        <v>84</v>
      </c>
      <c r="L112" s="1" t="s">
        <v>85</v>
      </c>
      <c r="M112" s="1" t="s">
        <v>86</v>
      </c>
      <c r="N112" s="1" t="s">
        <v>87</v>
      </c>
      <c r="O112" s="1" t="s">
        <v>88</v>
      </c>
    </row>
    <row r="113" spans="1:15" x14ac:dyDescent="0.2">
      <c r="A113" s="1" t="s">
        <v>299</v>
      </c>
      <c r="B113" s="1" t="s">
        <v>299</v>
      </c>
      <c r="C113" s="1" t="s">
        <v>118</v>
      </c>
      <c r="D113" s="1" t="s">
        <v>142</v>
      </c>
      <c r="E113" s="1" t="s">
        <v>104</v>
      </c>
      <c r="F113" s="1" t="s">
        <v>106</v>
      </c>
      <c r="G113" s="1" t="s">
        <v>134</v>
      </c>
      <c r="H113" s="1" t="s">
        <v>100</v>
      </c>
      <c r="I113" s="1" t="s">
        <v>102</v>
      </c>
      <c r="J113" s="1" t="s">
        <v>132</v>
      </c>
      <c r="K113" s="1" t="s">
        <v>130</v>
      </c>
      <c r="L113" s="1" t="s">
        <v>108</v>
      </c>
      <c r="M113" s="1" t="s">
        <v>116</v>
      </c>
      <c r="N113" s="1" t="s">
        <v>114</v>
      </c>
      <c r="O113" s="1" t="s">
        <v>154</v>
      </c>
    </row>
    <row r="114" spans="1:15" x14ac:dyDescent="0.2">
      <c r="A114" s="1" t="s">
        <v>76</v>
      </c>
      <c r="C114" s="1" t="s">
        <v>136</v>
      </c>
      <c r="D114" s="1" t="s">
        <v>146</v>
      </c>
      <c r="E114" s="1" t="s">
        <v>124</v>
      </c>
      <c r="F114" s="1" t="s">
        <v>112</v>
      </c>
      <c r="G114" s="1" t="s">
        <v>138</v>
      </c>
      <c r="H114" s="1" t="s">
        <v>144</v>
      </c>
      <c r="I114" s="1" t="s">
        <v>110</v>
      </c>
      <c r="J114" s="1" t="s">
        <v>150</v>
      </c>
      <c r="K114" s="1" t="s">
        <v>152</v>
      </c>
      <c r="L114" s="1" t="s">
        <v>168</v>
      </c>
      <c r="M114" s="1" t="s">
        <v>184</v>
      </c>
      <c r="N114" s="1" t="s">
        <v>174</v>
      </c>
      <c r="O114" s="1" t="s">
        <v>160</v>
      </c>
    </row>
    <row r="115" spans="1:15" x14ac:dyDescent="0.2">
      <c r="A115" s="1" t="s">
        <v>77</v>
      </c>
      <c r="C115" s="1" t="s">
        <v>196</v>
      </c>
      <c r="D115" s="1" t="s">
        <v>176</v>
      </c>
      <c r="E115" s="1" t="s">
        <v>148</v>
      </c>
      <c r="F115" s="1" t="s">
        <v>120</v>
      </c>
      <c r="G115" s="1" t="s">
        <v>156</v>
      </c>
      <c r="H115" s="1" t="s">
        <v>164</v>
      </c>
      <c r="I115" s="1" t="s">
        <v>126</v>
      </c>
      <c r="J115" s="1" t="s">
        <v>180</v>
      </c>
      <c r="K115" s="1" t="s">
        <v>158</v>
      </c>
      <c r="L115" s="1" t="s">
        <v>248</v>
      </c>
      <c r="M115" s="1" t="s">
        <v>215</v>
      </c>
      <c r="N115" s="1" t="s">
        <v>202</v>
      </c>
      <c r="O115" s="1" t="s">
        <v>190</v>
      </c>
    </row>
    <row r="116" spans="1:15" x14ac:dyDescent="0.2">
      <c r="A116" s="1" t="s">
        <v>78</v>
      </c>
      <c r="C116" s="1" t="s">
        <v>213</v>
      </c>
      <c r="D116" s="1" t="s">
        <v>192</v>
      </c>
      <c r="E116" s="1" t="s">
        <v>204</v>
      </c>
      <c r="F116" s="1" t="s">
        <v>122</v>
      </c>
      <c r="G116" s="1" t="s">
        <v>227</v>
      </c>
      <c r="H116" s="1" t="s">
        <v>14</v>
      </c>
      <c r="I116" s="1" t="s">
        <v>162</v>
      </c>
      <c r="J116" s="1" t="s">
        <v>221</v>
      </c>
      <c r="K116" s="1" t="s">
        <v>170</v>
      </c>
      <c r="L116" s="1" t="s">
        <v>250</v>
      </c>
      <c r="M116" s="1" t="s">
        <v>261</v>
      </c>
      <c r="N116" s="1" t="s">
        <v>207</v>
      </c>
      <c r="O116" s="1" t="s">
        <v>225</v>
      </c>
    </row>
    <row r="117" spans="1:15" x14ac:dyDescent="0.2">
      <c r="A117" s="1" t="s">
        <v>79</v>
      </c>
      <c r="C117" s="1" t="s">
        <v>259</v>
      </c>
      <c r="D117" s="1" t="s">
        <v>200</v>
      </c>
      <c r="E117" s="1" t="s">
        <v>246</v>
      </c>
      <c r="F117" s="1" t="s">
        <v>128</v>
      </c>
      <c r="G117" s="1" t="s">
        <v>231</v>
      </c>
      <c r="H117" s="1" t="s">
        <v>211</v>
      </c>
      <c r="I117" s="1" t="s">
        <v>209</v>
      </c>
      <c r="J117" s="1" t="s">
        <v>297</v>
      </c>
      <c r="K117" s="1" t="s">
        <v>198</v>
      </c>
      <c r="L117" s="1" t="s">
        <v>271</v>
      </c>
      <c r="M117" s="1" t="s">
        <v>281</v>
      </c>
      <c r="N117" s="1" t="s">
        <v>223</v>
      </c>
      <c r="O117" s="1" t="s">
        <v>241</v>
      </c>
    </row>
    <row r="118" spans="1:15" x14ac:dyDescent="0.2">
      <c r="A118" s="1" t="s">
        <v>80</v>
      </c>
      <c r="C118" s="1" t="s">
        <v>267</v>
      </c>
      <c r="D118" s="1" t="s">
        <v>243</v>
      </c>
      <c r="F118" s="1" t="s">
        <v>140</v>
      </c>
      <c r="G118" s="1" t="s">
        <v>500</v>
      </c>
      <c r="H118" s="1" t="s">
        <v>235</v>
      </c>
      <c r="I118" s="1" t="s">
        <v>279</v>
      </c>
      <c r="K118" s="1" t="s">
        <v>237</v>
      </c>
      <c r="N118" s="1" t="s">
        <v>233</v>
      </c>
      <c r="O118" s="1" t="s">
        <v>287</v>
      </c>
    </row>
    <row r="119" spans="1:15" x14ac:dyDescent="0.2">
      <c r="A119" s="1" t="s">
        <v>81</v>
      </c>
      <c r="C119" s="1" t="s">
        <v>277</v>
      </c>
      <c r="D119" s="1" t="s">
        <v>252</v>
      </c>
      <c r="F119" s="1" t="s">
        <v>166</v>
      </c>
      <c r="G119" s="1" t="s">
        <v>255</v>
      </c>
      <c r="H119" s="1" t="s">
        <v>275</v>
      </c>
      <c r="K119" s="1" t="s">
        <v>239</v>
      </c>
      <c r="N119" s="1" t="s">
        <v>263</v>
      </c>
    </row>
    <row r="120" spans="1:15" x14ac:dyDescent="0.2">
      <c r="A120" s="1" t="s">
        <v>82</v>
      </c>
      <c r="C120" s="1" t="s">
        <v>285</v>
      </c>
      <c r="D120" s="1" t="s">
        <v>257</v>
      </c>
      <c r="F120" s="1" t="s">
        <v>172</v>
      </c>
      <c r="G120" s="1" t="s">
        <v>265</v>
      </c>
      <c r="H120" s="1" t="s">
        <v>291</v>
      </c>
      <c r="K120" s="1" t="s">
        <v>283</v>
      </c>
      <c r="N120" s="1" t="s">
        <v>273</v>
      </c>
    </row>
    <row r="121" spans="1:15" x14ac:dyDescent="0.2">
      <c r="A121" s="1" t="s">
        <v>83</v>
      </c>
      <c r="D121" s="1" t="s">
        <v>289</v>
      </c>
      <c r="F121" s="1" t="s">
        <v>178</v>
      </c>
      <c r="K121" s="1" t="s">
        <v>295</v>
      </c>
    </row>
    <row r="122" spans="1:15" x14ac:dyDescent="0.2">
      <c r="A122" s="1" t="s">
        <v>84</v>
      </c>
      <c r="F122" s="1" t="s">
        <v>182</v>
      </c>
    </row>
    <row r="123" spans="1:15" x14ac:dyDescent="0.2">
      <c r="A123" s="1" t="s">
        <v>85</v>
      </c>
      <c r="F123" s="1" t="s">
        <v>186</v>
      </c>
    </row>
    <row r="124" spans="1:15" x14ac:dyDescent="0.2">
      <c r="A124" s="1" t="s">
        <v>86</v>
      </c>
      <c r="F124" s="1" t="s">
        <v>188</v>
      </c>
    </row>
    <row r="125" spans="1:15" x14ac:dyDescent="0.2">
      <c r="A125" s="1" t="s">
        <v>87</v>
      </c>
      <c r="F125" s="1" t="s">
        <v>194</v>
      </c>
    </row>
    <row r="126" spans="1:15" x14ac:dyDescent="0.2">
      <c r="A126" s="1" t="s">
        <v>88</v>
      </c>
      <c r="F126" s="1" t="s">
        <v>217</v>
      </c>
    </row>
    <row r="127" spans="1:15" x14ac:dyDescent="0.2">
      <c r="F127" s="1" t="s">
        <v>219</v>
      </c>
    </row>
    <row r="128" spans="1:15" x14ac:dyDescent="0.2">
      <c r="F128" s="1" t="s">
        <v>229</v>
      </c>
    </row>
    <row r="129" spans="1:6" x14ac:dyDescent="0.2">
      <c r="F129" s="1" t="s">
        <v>499</v>
      </c>
    </row>
    <row r="130" spans="1:6" x14ac:dyDescent="0.2">
      <c r="F130" s="1" t="s">
        <v>269</v>
      </c>
    </row>
    <row r="131" spans="1:6" x14ac:dyDescent="0.2">
      <c r="F131" s="1" t="s">
        <v>293</v>
      </c>
    </row>
    <row r="136" spans="1:6" ht="12.75" x14ac:dyDescent="0.2">
      <c r="A136" t="s">
        <v>112</v>
      </c>
    </row>
    <row r="137" spans="1:6" ht="12.75" x14ac:dyDescent="0.2">
      <c r="A137" t="s">
        <v>118</v>
      </c>
    </row>
    <row r="138" spans="1:6" ht="12.75" x14ac:dyDescent="0.2">
      <c r="A138" t="s">
        <v>120</v>
      </c>
    </row>
    <row r="139" spans="1:6" ht="12.75" x14ac:dyDescent="0.2">
      <c r="A139" t="s">
        <v>122</v>
      </c>
    </row>
    <row r="140" spans="1:6" ht="12.75" x14ac:dyDescent="0.2">
      <c r="A140" t="s">
        <v>126</v>
      </c>
    </row>
    <row r="141" spans="1:6" ht="12.75" x14ac:dyDescent="0.2">
      <c r="A141" t="s">
        <v>128</v>
      </c>
    </row>
    <row r="142" spans="1:6" ht="12.75" x14ac:dyDescent="0.2">
      <c r="A142" t="s">
        <v>132</v>
      </c>
    </row>
    <row r="143" spans="1:6" ht="12.75" x14ac:dyDescent="0.2">
      <c r="A143" t="s">
        <v>146</v>
      </c>
    </row>
    <row r="144" spans="1:6" ht="12.75" x14ac:dyDescent="0.2">
      <c r="A144" t="s">
        <v>148</v>
      </c>
    </row>
    <row r="145" spans="1:1" ht="12.75" x14ac:dyDescent="0.2">
      <c r="A145" t="s">
        <v>299</v>
      </c>
    </row>
    <row r="146" spans="1:1" ht="12.75" x14ac:dyDescent="0.2">
      <c r="A146" t="s">
        <v>152</v>
      </c>
    </row>
    <row r="147" spans="1:1" ht="12.75" x14ac:dyDescent="0.2">
      <c r="A147" t="s">
        <v>156</v>
      </c>
    </row>
    <row r="148" spans="1:1" ht="12.75" x14ac:dyDescent="0.2">
      <c r="A148" t="s">
        <v>158</v>
      </c>
    </row>
    <row r="149" spans="1:1" ht="12.75" x14ac:dyDescent="0.2">
      <c r="A149" t="s">
        <v>162</v>
      </c>
    </row>
    <row r="150" spans="1:1" ht="12.75" x14ac:dyDescent="0.2">
      <c r="A150" t="s">
        <v>166</v>
      </c>
    </row>
    <row r="151" spans="1:1" ht="12.75" x14ac:dyDescent="0.2">
      <c r="A151" t="s">
        <v>176</v>
      </c>
    </row>
    <row r="152" spans="1:1" ht="12.75" x14ac:dyDescent="0.2">
      <c r="A152" t="s">
        <v>188</v>
      </c>
    </row>
    <row r="153" spans="1:1" ht="12.75" x14ac:dyDescent="0.2">
      <c r="A153" t="s">
        <v>194</v>
      </c>
    </row>
    <row r="154" spans="1:1" ht="12.75" x14ac:dyDescent="0.2">
      <c r="A154" t="s">
        <v>196</v>
      </c>
    </row>
    <row r="155" spans="1:1" ht="12.75" x14ac:dyDescent="0.2">
      <c r="A155" t="s">
        <v>202</v>
      </c>
    </row>
    <row r="156" spans="1:1" ht="12.75" x14ac:dyDescent="0.2">
      <c r="A156" t="s">
        <v>204</v>
      </c>
    </row>
    <row r="157" spans="1:1" ht="12.75" x14ac:dyDescent="0.2">
      <c r="A157" t="s">
        <v>14</v>
      </c>
    </row>
    <row r="158" spans="1:1" ht="12.75" x14ac:dyDescent="0.2">
      <c r="A158" t="s">
        <v>207</v>
      </c>
    </row>
    <row r="159" spans="1:1" ht="12.75" x14ac:dyDescent="0.2">
      <c r="A159" t="s">
        <v>209</v>
      </c>
    </row>
    <row r="160" spans="1:1" ht="12.75" x14ac:dyDescent="0.2">
      <c r="A160" t="s">
        <v>211</v>
      </c>
    </row>
    <row r="161" spans="1:1" ht="12.75" x14ac:dyDescent="0.2">
      <c r="A161" t="s">
        <v>213</v>
      </c>
    </row>
    <row r="162" spans="1:1" ht="12.75" x14ac:dyDescent="0.2">
      <c r="A162" t="s">
        <v>219</v>
      </c>
    </row>
    <row r="163" spans="1:1" ht="12.75" x14ac:dyDescent="0.2">
      <c r="A163" t="s">
        <v>221</v>
      </c>
    </row>
    <row r="164" spans="1:1" ht="12.75" x14ac:dyDescent="0.2">
      <c r="A164" t="s">
        <v>223</v>
      </c>
    </row>
    <row r="165" spans="1:1" ht="12.75" x14ac:dyDescent="0.2">
      <c r="A165" t="s">
        <v>227</v>
      </c>
    </row>
    <row r="166" spans="1:1" ht="12.75" x14ac:dyDescent="0.2">
      <c r="A166" t="s">
        <v>239</v>
      </c>
    </row>
    <row r="167" spans="1:1" ht="12.75" x14ac:dyDescent="0.2">
      <c r="A167" t="s">
        <v>243</v>
      </c>
    </row>
    <row r="168" spans="1:1" ht="12.75" x14ac:dyDescent="0.2">
      <c r="A168" t="s">
        <v>246</v>
      </c>
    </row>
    <row r="169" spans="1:1" ht="12.75" x14ac:dyDescent="0.2">
      <c r="A169" t="s">
        <v>250</v>
      </c>
    </row>
    <row r="170" spans="1:1" ht="12.75" x14ac:dyDescent="0.2">
      <c r="A170" t="s">
        <v>261</v>
      </c>
    </row>
    <row r="171" spans="1:1" ht="12.75" x14ac:dyDescent="0.2">
      <c r="A171" t="s">
        <v>263</v>
      </c>
    </row>
    <row r="172" spans="1:1" ht="12.75" x14ac:dyDescent="0.2">
      <c r="A172" t="s">
        <v>265</v>
      </c>
    </row>
    <row r="173" spans="1:1" ht="12.75" x14ac:dyDescent="0.2">
      <c r="A173" t="s">
        <v>267</v>
      </c>
    </row>
    <row r="174" spans="1:1" ht="12.75" x14ac:dyDescent="0.2">
      <c r="A174" t="s">
        <v>271</v>
      </c>
    </row>
    <row r="175" spans="1:1" ht="12.75" x14ac:dyDescent="0.2">
      <c r="A175" t="s">
        <v>273</v>
      </c>
    </row>
    <row r="176" spans="1:1" ht="12.75" x14ac:dyDescent="0.2">
      <c r="A176" t="s">
        <v>281</v>
      </c>
    </row>
    <row r="177" spans="1:1" ht="12.75" x14ac:dyDescent="0.2">
      <c r="A177" t="s">
        <v>285</v>
      </c>
    </row>
    <row r="178" spans="1:1" ht="12.75" x14ac:dyDescent="0.2">
      <c r="A178" t="s">
        <v>287</v>
      </c>
    </row>
    <row r="179" spans="1:1" ht="12.75" x14ac:dyDescent="0.2">
      <c r="A179" t="s">
        <v>289</v>
      </c>
    </row>
    <row r="180" spans="1:1" ht="12.75" x14ac:dyDescent="0.2">
      <c r="A180" t="s">
        <v>295</v>
      </c>
    </row>
  </sheetData>
  <mergeCells count="1">
    <mergeCell ref="H2:O2"/>
  </mergeCells>
  <phoneticPr fontId="22" type="noConversion"/>
  <conditionalFormatting sqref="O4:O52 H53:Q105">
    <cfRule type="cellIs" dxfId="43" priority="2" operator="equal">
      <formula>0</formula>
    </cfRule>
  </conditionalFormatting>
  <conditionalFormatting sqref="P5:P52">
    <cfRule type="cellIs" dxfId="42" priority="1" operator="equal">
      <formula>0</formula>
    </cfRule>
  </conditionalFormatting>
  <conditionalFormatting sqref="P4:Q4 H4:N52">
    <cfRule type="cellIs" dxfId="41" priority="4" operator="equal">
      <formula>0</formula>
    </cfRule>
  </conditionalFormatting>
  <conditionalFormatting sqref="Q5:Q52">
    <cfRule type="cellIs" dxfId="40" priority="5" operator="equal">
      <formula>0</formula>
    </cfRule>
  </conditionalFormatting>
  <dataValidations count="1">
    <dataValidation type="list" allowBlank="1" showInputMessage="1" showErrorMessage="1" sqref="E1:E78 E79:E1048576">
      <formula1>Powiaty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006600"/>
  </sheetPr>
  <dimension ref="A1:E34"/>
  <sheetViews>
    <sheetView workbookViewId="0">
      <selection activeCell="G9" sqref="G9"/>
    </sheetView>
  </sheetViews>
  <sheetFormatPr defaultColWidth="9.140625" defaultRowHeight="12" x14ac:dyDescent="0.2"/>
  <cols>
    <col min="1" max="1" width="29.85546875" style="1" customWidth="1"/>
    <col min="2" max="2" width="50.28515625" style="1" customWidth="1"/>
    <col min="3" max="5" width="19.28515625" style="1" customWidth="1"/>
    <col min="6" max="16384" width="9.140625" style="1"/>
  </cols>
  <sheetData>
    <row r="1" spans="1:5" x14ac:dyDescent="0.2">
      <c r="A1" s="7">
        <v>1</v>
      </c>
      <c r="B1" s="7">
        <f>A1+1</f>
        <v>2</v>
      </c>
      <c r="C1" s="7">
        <f t="shared" ref="C1:E1" si="0">B1+1</f>
        <v>3</v>
      </c>
      <c r="D1" s="7">
        <f t="shared" si="0"/>
        <v>4</v>
      </c>
      <c r="E1" s="7">
        <f t="shared" si="0"/>
        <v>5</v>
      </c>
    </row>
    <row r="2" spans="1:5" ht="12" customHeight="1" x14ac:dyDescent="0.2">
      <c r="A2" s="189" t="s">
        <v>45</v>
      </c>
      <c r="B2" s="189" t="s">
        <v>33</v>
      </c>
      <c r="C2" s="188" t="s">
        <v>44</v>
      </c>
      <c r="D2" s="188"/>
      <c r="E2" s="188"/>
    </row>
    <row r="3" spans="1:5" ht="14.25" x14ac:dyDescent="0.2">
      <c r="A3" s="190"/>
      <c r="B3" s="190"/>
      <c r="C3" s="8" t="s">
        <v>349</v>
      </c>
      <c r="D3" s="8" t="s">
        <v>350</v>
      </c>
      <c r="E3" s="8" t="s">
        <v>403</v>
      </c>
    </row>
    <row r="4" spans="1:5" x14ac:dyDescent="0.2">
      <c r="A4" s="66" t="s">
        <v>401</v>
      </c>
      <c r="B4" s="67" t="s">
        <v>404</v>
      </c>
      <c r="C4" s="68" t="s">
        <v>31</v>
      </c>
      <c r="D4" s="68" t="s">
        <v>32</v>
      </c>
      <c r="E4" s="69" t="s">
        <v>402</v>
      </c>
    </row>
    <row r="5" spans="1:5" x14ac:dyDescent="0.2">
      <c r="A5" s="63" t="s">
        <v>36</v>
      </c>
      <c r="B5" s="17" t="s">
        <v>37</v>
      </c>
      <c r="C5" s="28">
        <v>502.42899999999997</v>
      </c>
      <c r="D5" s="28">
        <v>494.96699999999998</v>
      </c>
      <c r="E5" s="64">
        <v>0.28604000000000002</v>
      </c>
    </row>
    <row r="6" spans="1:5" x14ac:dyDescent="0.2">
      <c r="A6" s="63" t="s">
        <v>38</v>
      </c>
      <c r="B6" s="17" t="s">
        <v>39</v>
      </c>
      <c r="C6" s="28">
        <v>502.42899999999997</v>
      </c>
      <c r="D6" s="28">
        <v>494.96699999999998</v>
      </c>
      <c r="E6" s="64">
        <v>0.28604000000000002</v>
      </c>
    </row>
    <row r="7" spans="1:5" x14ac:dyDescent="0.2">
      <c r="A7" s="63" t="s">
        <v>339</v>
      </c>
      <c r="B7" s="27" t="s">
        <v>340</v>
      </c>
      <c r="C7" s="29">
        <v>486.13400000000001</v>
      </c>
      <c r="D7" s="29">
        <v>481.93099999999998</v>
      </c>
      <c r="E7" s="65">
        <v>0.27381</v>
      </c>
    </row>
    <row r="8" spans="1:5" x14ac:dyDescent="0.2">
      <c r="A8" s="63" t="s">
        <v>341</v>
      </c>
      <c r="B8" s="27" t="s">
        <v>342</v>
      </c>
      <c r="C8" s="29">
        <v>483.7</v>
      </c>
      <c r="D8" s="29">
        <v>477.22399999999999</v>
      </c>
      <c r="E8" s="65">
        <v>0.27703</v>
      </c>
    </row>
    <row r="9" spans="1:5" x14ac:dyDescent="0.2">
      <c r="A9" s="63" t="s">
        <v>40</v>
      </c>
      <c r="B9" s="17" t="s">
        <v>41</v>
      </c>
      <c r="C9" s="28">
        <v>502.084</v>
      </c>
      <c r="D9" s="28">
        <v>494.62200000000001</v>
      </c>
      <c r="E9" s="64">
        <v>0.28604000000000002</v>
      </c>
    </row>
    <row r="10" spans="1:5" x14ac:dyDescent="0.2">
      <c r="A10" s="63" t="s">
        <v>42</v>
      </c>
      <c r="B10" s="27" t="s">
        <v>50</v>
      </c>
      <c r="C10" s="28">
        <v>500.98500000000001</v>
      </c>
      <c r="D10" s="28">
        <v>493.52300000000002</v>
      </c>
      <c r="E10" s="64">
        <v>0.28598000000000001</v>
      </c>
    </row>
    <row r="11" spans="1:5" x14ac:dyDescent="0.2">
      <c r="A11" s="63" t="s">
        <v>46</v>
      </c>
      <c r="B11" s="27" t="s">
        <v>52</v>
      </c>
      <c r="C11" s="28">
        <v>502.42899999999997</v>
      </c>
      <c r="D11" s="28">
        <v>494.96699999999998</v>
      </c>
      <c r="E11" s="64">
        <v>0.28604000000000002</v>
      </c>
    </row>
    <row r="12" spans="1:5" x14ac:dyDescent="0.2">
      <c r="A12" s="63" t="s">
        <v>51</v>
      </c>
      <c r="B12" s="27" t="s">
        <v>43</v>
      </c>
      <c r="C12" s="28">
        <v>73.534000000000006</v>
      </c>
      <c r="D12" s="28">
        <v>72.441999999999993</v>
      </c>
      <c r="E12" s="64">
        <v>4.1860000000000001E-2</v>
      </c>
    </row>
    <row r="13" spans="1:5" x14ac:dyDescent="0.2">
      <c r="A13" s="63" t="s">
        <v>343</v>
      </c>
      <c r="B13" s="27" t="s">
        <v>344</v>
      </c>
      <c r="C13" s="28">
        <v>491.02199999999999</v>
      </c>
      <c r="D13" s="28">
        <v>485.84199999999998</v>
      </c>
      <c r="E13" s="64">
        <v>0.27748</v>
      </c>
    </row>
    <row r="14" spans="1:5" x14ac:dyDescent="0.2">
      <c r="A14" s="63" t="s">
        <v>345</v>
      </c>
      <c r="B14" s="27" t="s">
        <v>346</v>
      </c>
      <c r="C14" s="28">
        <v>489.31799999999998</v>
      </c>
      <c r="D14" s="28">
        <v>482.54700000000003</v>
      </c>
      <c r="E14" s="64">
        <v>0.27972999999999998</v>
      </c>
    </row>
    <row r="15" spans="1:5" x14ac:dyDescent="0.2">
      <c r="A15" s="63" t="s">
        <v>53</v>
      </c>
      <c r="B15" s="27" t="s">
        <v>347</v>
      </c>
      <c r="C15" s="28">
        <v>502.18700000000001</v>
      </c>
      <c r="D15" s="28">
        <v>494.72500000000002</v>
      </c>
      <c r="E15" s="64">
        <v>0.28604000000000002</v>
      </c>
    </row>
    <row r="16" spans="1:5" x14ac:dyDescent="0.2">
      <c r="A16" s="70" t="s">
        <v>54</v>
      </c>
      <c r="B16" s="71" t="s">
        <v>348</v>
      </c>
      <c r="C16" s="72">
        <v>501.41800000000001</v>
      </c>
      <c r="D16" s="72">
        <v>493.95600000000002</v>
      </c>
      <c r="E16" s="73">
        <v>0.28599000000000002</v>
      </c>
    </row>
    <row r="18" spans="1:5" x14ac:dyDescent="0.2">
      <c r="C18" s="24"/>
      <c r="D18" s="24"/>
      <c r="E18" s="26"/>
    </row>
    <row r="19" spans="1:5" ht="36" x14ac:dyDescent="0.2">
      <c r="B19" s="61" t="s">
        <v>380</v>
      </c>
      <c r="C19" s="24"/>
      <c r="D19" s="24"/>
      <c r="E19" s="26"/>
    </row>
    <row r="20" spans="1:5" x14ac:dyDescent="0.2">
      <c r="A20" s="60" t="s">
        <v>363</v>
      </c>
      <c r="B20" s="60" t="s">
        <v>379</v>
      </c>
      <c r="C20" s="60" t="s">
        <v>364</v>
      </c>
      <c r="D20" s="24"/>
      <c r="E20" s="26"/>
    </row>
    <row r="21" spans="1:5" x14ac:dyDescent="0.2">
      <c r="A21" s="3" t="s">
        <v>365</v>
      </c>
      <c r="B21" s="3" t="s">
        <v>381</v>
      </c>
      <c r="C21" s="18" t="s">
        <v>36</v>
      </c>
      <c r="D21" s="24"/>
      <c r="E21" s="26"/>
    </row>
    <row r="22" spans="1:5" x14ac:dyDescent="0.2">
      <c r="A22" s="3" t="s">
        <v>366</v>
      </c>
      <c r="B22" s="3" t="s">
        <v>382</v>
      </c>
      <c r="C22" s="18" t="s">
        <v>40</v>
      </c>
      <c r="D22" s="24"/>
      <c r="E22" s="26"/>
    </row>
    <row r="23" spans="1:5" x14ac:dyDescent="0.2">
      <c r="A23" s="3" t="s">
        <v>367</v>
      </c>
      <c r="B23" s="3" t="s">
        <v>383</v>
      </c>
      <c r="C23" s="18" t="s">
        <v>46</v>
      </c>
      <c r="D23" s="24"/>
      <c r="E23" s="26"/>
    </row>
    <row r="24" spans="1:5" x14ac:dyDescent="0.2">
      <c r="A24" s="3" t="s">
        <v>368</v>
      </c>
      <c r="B24" s="3" t="s">
        <v>384</v>
      </c>
      <c r="C24" s="18" t="s">
        <v>339</v>
      </c>
      <c r="D24" s="24"/>
      <c r="E24" s="26"/>
    </row>
    <row r="25" spans="1:5" x14ac:dyDescent="0.2">
      <c r="A25" s="3" t="s">
        <v>369</v>
      </c>
      <c r="B25" s="3" t="s">
        <v>385</v>
      </c>
      <c r="C25" s="18" t="s">
        <v>341</v>
      </c>
      <c r="D25" s="24"/>
      <c r="E25" s="26"/>
    </row>
    <row r="26" spans="1:5" x14ac:dyDescent="0.2">
      <c r="A26" s="3" t="s">
        <v>370</v>
      </c>
      <c r="B26" s="3" t="s">
        <v>386</v>
      </c>
      <c r="C26" s="18" t="s">
        <v>38</v>
      </c>
      <c r="D26" s="24"/>
      <c r="E26" s="26"/>
    </row>
    <row r="27" spans="1:5" x14ac:dyDescent="0.2">
      <c r="A27" s="3" t="s">
        <v>371</v>
      </c>
      <c r="B27" s="3" t="s">
        <v>387</v>
      </c>
      <c r="C27" s="18" t="s">
        <v>42</v>
      </c>
      <c r="D27" s="24"/>
      <c r="E27" s="26"/>
    </row>
    <row r="28" spans="1:5" x14ac:dyDescent="0.2">
      <c r="A28" s="3" t="s">
        <v>372</v>
      </c>
      <c r="B28" s="3" t="s">
        <v>388</v>
      </c>
      <c r="C28" s="18" t="s">
        <v>36</v>
      </c>
      <c r="D28" s="24"/>
      <c r="E28" s="26"/>
    </row>
    <row r="29" spans="1:5" x14ac:dyDescent="0.2">
      <c r="A29" s="3" t="s">
        <v>373</v>
      </c>
      <c r="B29" s="3" t="s">
        <v>389</v>
      </c>
      <c r="C29" s="18" t="s">
        <v>53</v>
      </c>
      <c r="D29" s="24"/>
      <c r="E29" s="26"/>
    </row>
    <row r="30" spans="1:5" x14ac:dyDescent="0.2">
      <c r="A30" s="3" t="s">
        <v>374</v>
      </c>
      <c r="B30" s="3" t="s">
        <v>390</v>
      </c>
      <c r="C30" s="18" t="s">
        <v>46</v>
      </c>
    </row>
    <row r="31" spans="1:5" x14ac:dyDescent="0.2">
      <c r="A31" s="3" t="s">
        <v>375</v>
      </c>
      <c r="B31" s="3" t="s">
        <v>391</v>
      </c>
      <c r="C31" s="18" t="s">
        <v>343</v>
      </c>
    </row>
    <row r="32" spans="1:5" x14ac:dyDescent="0.2">
      <c r="A32" s="3" t="s">
        <v>376</v>
      </c>
      <c r="B32" s="3" t="s">
        <v>392</v>
      </c>
      <c r="C32" s="18" t="s">
        <v>345</v>
      </c>
    </row>
    <row r="33" spans="1:3" x14ac:dyDescent="0.2">
      <c r="A33" s="3" t="s">
        <v>377</v>
      </c>
      <c r="B33" s="3" t="s">
        <v>393</v>
      </c>
      <c r="C33" s="18" t="s">
        <v>38</v>
      </c>
    </row>
    <row r="34" spans="1:3" x14ac:dyDescent="0.2">
      <c r="A34" s="3" t="s">
        <v>378</v>
      </c>
      <c r="B34" s="3" t="s">
        <v>394</v>
      </c>
      <c r="C34" s="18" t="s">
        <v>54</v>
      </c>
    </row>
  </sheetData>
  <mergeCells count="3">
    <mergeCell ref="C2:E2"/>
    <mergeCell ref="A2:A3"/>
    <mergeCell ref="B2:B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27"/>
  <sheetViews>
    <sheetView workbookViewId="0">
      <selection activeCell="B6" sqref="B6"/>
    </sheetView>
  </sheetViews>
  <sheetFormatPr defaultColWidth="8.85546875" defaultRowHeight="12.75" x14ac:dyDescent="0.2"/>
  <cols>
    <col min="1" max="1" width="33.5703125" style="103" customWidth="1"/>
    <col min="2" max="2" width="87.28515625" style="103" customWidth="1"/>
    <col min="3" max="16384" width="8.85546875" style="103"/>
  </cols>
  <sheetData>
    <row r="2" spans="1:2" ht="40.9" customHeight="1" x14ac:dyDescent="0.2">
      <c r="A2" s="191" t="s">
        <v>558</v>
      </c>
      <c r="B2" s="191"/>
    </row>
    <row r="3" spans="1:2" x14ac:dyDescent="0.2">
      <c r="A3" s="123" t="s">
        <v>479</v>
      </c>
      <c r="B3" s="123"/>
    </row>
    <row r="4" spans="1:2" x14ac:dyDescent="0.2">
      <c r="A4" s="109"/>
    </row>
    <row r="5" spans="1:2" ht="15.75" x14ac:dyDescent="0.2">
      <c r="A5" s="110" t="s">
        <v>443</v>
      </c>
    </row>
    <row r="6" spans="1:2" ht="15" x14ac:dyDescent="0.2">
      <c r="A6" s="111" t="s">
        <v>565</v>
      </c>
      <c r="B6" s="102" t="s">
        <v>567</v>
      </c>
    </row>
    <row r="7" spans="1:2" ht="15" x14ac:dyDescent="0.2">
      <c r="A7" s="108" t="s">
        <v>444</v>
      </c>
      <c r="B7" s="102" t="s">
        <v>560</v>
      </c>
    </row>
    <row r="8" spans="1:2" ht="15" x14ac:dyDescent="0.2">
      <c r="A8" s="108" t="s">
        <v>433</v>
      </c>
      <c r="B8" s="102" t="s">
        <v>561</v>
      </c>
    </row>
    <row r="9" spans="1:2" ht="15" hidden="1" x14ac:dyDescent="0.2">
      <c r="A9" s="108" t="s">
        <v>434</v>
      </c>
      <c r="B9" s="102" t="s">
        <v>460</v>
      </c>
    </row>
    <row r="10" spans="1:2" ht="15" x14ac:dyDescent="0.2">
      <c r="A10" s="108" t="s">
        <v>435</v>
      </c>
      <c r="B10" s="102" t="s">
        <v>562</v>
      </c>
    </row>
    <row r="11" spans="1:2" ht="15" x14ac:dyDescent="0.2">
      <c r="A11" s="108" t="s">
        <v>436</v>
      </c>
      <c r="B11" s="102" t="s">
        <v>563</v>
      </c>
    </row>
    <row r="12" spans="1:2" ht="15" x14ac:dyDescent="0.2">
      <c r="A12" s="108" t="s">
        <v>439</v>
      </c>
      <c r="B12" s="102" t="s">
        <v>564</v>
      </c>
    </row>
    <row r="13" spans="1:2" ht="15" hidden="1" x14ac:dyDescent="0.2">
      <c r="A13" s="111" t="s">
        <v>456</v>
      </c>
      <c r="B13" s="102"/>
    </row>
    <row r="14" spans="1:2" ht="15" hidden="1" x14ac:dyDescent="0.2">
      <c r="A14" s="108" t="s">
        <v>446</v>
      </c>
      <c r="B14" s="102" t="s">
        <v>459</v>
      </c>
    </row>
    <row r="15" spans="1:2" ht="15" hidden="1" x14ac:dyDescent="0.2">
      <c r="A15" s="108" t="s">
        <v>448</v>
      </c>
      <c r="B15" s="102" t="s">
        <v>461</v>
      </c>
    </row>
    <row r="16" spans="1:2" ht="15" hidden="1" x14ac:dyDescent="0.2">
      <c r="A16" s="111" t="s">
        <v>454</v>
      </c>
      <c r="B16" s="102"/>
    </row>
    <row r="17" spans="1:2" ht="15" hidden="1" x14ac:dyDescent="0.2">
      <c r="A17" s="108" t="s">
        <v>446</v>
      </c>
      <c r="B17" s="102" t="s">
        <v>457</v>
      </c>
    </row>
    <row r="18" spans="1:2" ht="15" hidden="1" x14ac:dyDescent="0.2">
      <c r="A18" s="108" t="s">
        <v>440</v>
      </c>
      <c r="B18" s="102" t="s">
        <v>442</v>
      </c>
    </row>
    <row r="19" spans="1:2" ht="15" hidden="1" x14ac:dyDescent="0.2">
      <c r="A19" s="111" t="s">
        <v>455</v>
      </c>
      <c r="B19" s="102"/>
    </row>
    <row r="20" spans="1:2" ht="15" hidden="1" x14ac:dyDescent="0.2">
      <c r="A20" s="108" t="s">
        <v>446</v>
      </c>
      <c r="B20" s="102" t="s">
        <v>458</v>
      </c>
    </row>
    <row r="21" spans="1:2" ht="15" hidden="1" x14ac:dyDescent="0.2">
      <c r="A21" s="108" t="s">
        <v>441</v>
      </c>
      <c r="B21" s="102" t="s">
        <v>445</v>
      </c>
    </row>
    <row r="25" spans="1:2" ht="15.75" x14ac:dyDescent="0.2">
      <c r="A25" s="192" t="s">
        <v>472</v>
      </c>
      <c r="B25" s="192"/>
    </row>
    <row r="26" spans="1:2" ht="40.5" customHeight="1" x14ac:dyDescent="0.2">
      <c r="A26" s="193" t="s">
        <v>566</v>
      </c>
      <c r="B26" s="194"/>
    </row>
    <row r="27" spans="1:2" ht="15.75" x14ac:dyDescent="0.2">
      <c r="A27" s="119"/>
      <c r="B27" s="43"/>
    </row>
  </sheetData>
  <mergeCells count="3">
    <mergeCell ref="A2:B2"/>
    <mergeCell ref="A25:B25"/>
    <mergeCell ref="A26:B26"/>
  </mergeCells>
  <hyperlinks>
    <hyperlink ref="A9" location="tab.1_ZSO_powiaty!A1" tooltip="Tabela ZSO dla powiatów" display="tab.1_ZSO_powiaty"/>
    <hyperlink ref="A10" location="tab.2_EE_gminy!A1" tooltip="Tabela EE dla gmin" display="tab.2_EE_gminy"/>
    <hyperlink ref="A11" location="tab.3_KPP!A1" tooltip="Tabela kontrole" display="tab.3_KPP"/>
    <hyperlink ref="A12" location="tab.5_PDK!A1" tooltip="PDK" display="tab.5_PDK"/>
    <hyperlink ref="A8" location="tab.1_ZSO_gminy!A1" tooltip="Tabela ZSO dla gmin" display="tab.1_ZSO_gminy"/>
    <hyperlink ref="A21" location="tab.4_BDO!A1" tooltip="Tabela drogi (BDO)" display="tab.4_BDO"/>
    <hyperlink ref="A7" location="tabela_informacyjna_dla_JST!A1" tooltip="Informacje ogólne JST" display="tabela_informacyjna_dla_JST"/>
    <hyperlink ref="A20" location="tabela_informacyjna_dla_innych!A1" tooltip="Informacje ogólne dla innych podmiotów" display="tabela_informacyjna_dla_innych"/>
    <hyperlink ref="A17" location="tabela_informacyjna_dla_innych!A1" tooltip="Informacje ogólne dla innych podmiotów" display="tabela_informacyjna_dla_innych"/>
    <hyperlink ref="A18" location="tab.2_EE_org!A1" tooltip="Tabela edukacja - organizacje" display="tab.2_EE_org"/>
    <hyperlink ref="A14" location="tabela_informacyjna_dla_innych!A1" tooltip="Informacje ogólne dla innych podmiotów" display="tabela_informacyjna_dla_innych"/>
    <hyperlink ref="A15" location="tab.1_ZSO_zarządcy!A1" display="tab.1_ZSO_zarządcy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7"/>
  <sheetViews>
    <sheetView zoomScale="120" zoomScaleNormal="120" workbookViewId="0">
      <selection activeCell="C25" sqref="C25"/>
    </sheetView>
  </sheetViews>
  <sheetFormatPr defaultColWidth="9.140625" defaultRowHeight="12" x14ac:dyDescent="0.2"/>
  <cols>
    <col min="1" max="1" width="4" style="1" customWidth="1"/>
    <col min="2" max="2" width="39.7109375" style="1" customWidth="1"/>
    <col min="3" max="3" width="39" style="1" customWidth="1"/>
    <col min="4" max="4" width="6.85546875" style="1" hidden="1" customWidth="1"/>
    <col min="5" max="5" width="39" style="1" hidden="1" customWidth="1"/>
    <col min="6" max="6" width="6" style="1" hidden="1" customWidth="1"/>
    <col min="7" max="7" width="3.85546875" style="1" customWidth="1"/>
    <col min="8" max="8" width="18" style="1" bestFit="1" customWidth="1"/>
    <col min="9" max="9" width="66" style="1" bestFit="1" customWidth="1"/>
    <col min="10" max="16384" width="9.140625" style="1"/>
  </cols>
  <sheetData>
    <row r="1" spans="1:9" ht="16.5" customHeight="1" x14ac:dyDescent="0.2">
      <c r="A1" s="193"/>
      <c r="B1" s="193"/>
      <c r="C1" s="193"/>
      <c r="E1" s="43"/>
    </row>
    <row r="2" spans="1:9" ht="20.45" customHeight="1" x14ac:dyDescent="0.2">
      <c r="B2" s="44" t="s">
        <v>312</v>
      </c>
      <c r="C2" s="130" t="s">
        <v>310</v>
      </c>
      <c r="D2" s="130"/>
      <c r="E2" s="130" t="s">
        <v>449</v>
      </c>
    </row>
    <row r="3" spans="1:9" ht="12" customHeight="1" x14ac:dyDescent="0.2">
      <c r="A3" s="195" t="s">
        <v>496</v>
      </c>
      <c r="B3" s="195"/>
      <c r="C3" s="195"/>
      <c r="D3" s="195"/>
      <c r="E3" s="195"/>
    </row>
    <row r="4" spans="1:9" ht="15" x14ac:dyDescent="0.2">
      <c r="A4" s="42" t="s">
        <v>7</v>
      </c>
      <c r="B4" s="42" t="s">
        <v>10</v>
      </c>
      <c r="C4" s="42" t="s">
        <v>437</v>
      </c>
      <c r="D4" s="46" t="s">
        <v>313</v>
      </c>
      <c r="E4" s="42" t="s">
        <v>438</v>
      </c>
      <c r="F4" s="46" t="s">
        <v>313</v>
      </c>
      <c r="H4" s="107" t="s">
        <v>433</v>
      </c>
      <c r="I4" s="102" t="s">
        <v>561</v>
      </c>
    </row>
    <row r="5" spans="1:9" ht="15" x14ac:dyDescent="0.2">
      <c r="A5" s="10">
        <v>1</v>
      </c>
      <c r="B5" s="11" t="s">
        <v>475</v>
      </c>
      <c r="C5" s="21">
        <v>2025</v>
      </c>
      <c r="D5" s="47"/>
      <c r="E5" s="21"/>
      <c r="F5" s="47"/>
      <c r="H5" s="107" t="s">
        <v>435</v>
      </c>
      <c r="I5" s="102" t="s">
        <v>562</v>
      </c>
    </row>
    <row r="6" spans="1:9" ht="15" x14ac:dyDescent="0.2">
      <c r="A6" s="10">
        <v>2</v>
      </c>
      <c r="B6" s="11" t="s">
        <v>8</v>
      </c>
      <c r="C6" s="9" t="s">
        <v>56</v>
      </c>
      <c r="D6" s="45"/>
      <c r="E6" s="9" t="s">
        <v>56</v>
      </c>
      <c r="F6" s="45"/>
      <c r="H6" s="107" t="s">
        <v>436</v>
      </c>
      <c r="I6" s="102" t="s">
        <v>563</v>
      </c>
    </row>
    <row r="7" spans="1:9" ht="15" x14ac:dyDescent="0.2">
      <c r="A7" s="10">
        <v>3</v>
      </c>
      <c r="B7" s="11" t="s">
        <v>16</v>
      </c>
      <c r="C7" s="9" t="str">
        <f>IFERROR(CONCATENATE(VLOOKUP($D$9,gminy_26[],katalog_gmin_PL26!$G$1,FALSE)," (",VLOOKUP($D$9,gminy_26[],katalog_gmin_PL26!$F$1,FALSE),")"),"")</f>
        <v>strefa świętokrzyska (PL2602)</v>
      </c>
      <c r="D7" s="45" t="str">
        <f>VLOOKUP($D$9,gminy_26[],katalog_gmin_PL26!$F$1,FALSE)</f>
        <v>PL2602</v>
      </c>
      <c r="E7" s="9" t="str">
        <f>IFERROR(CONCATENATE(VLOOKUP($F$8,powiaty_26[],katalogi!$E$1,FALSE)," (",VLOOKUP($F$8,powiaty_26[],katalogi!$D$1,FALSE),")"),"")</f>
        <v/>
      </c>
      <c r="F7" s="45" t="str">
        <f>IFERROR(VLOOKUP($F$8,powiaty_26[],katalogi!$D$1,FALSE),"brak")</f>
        <v>brak</v>
      </c>
      <c r="H7" s="107" t="s">
        <v>439</v>
      </c>
      <c r="I7" s="102" t="s">
        <v>564</v>
      </c>
    </row>
    <row r="8" spans="1:9" x14ac:dyDescent="0.2">
      <c r="A8" s="10">
        <v>4</v>
      </c>
      <c r="B8" s="11" t="s">
        <v>498</v>
      </c>
      <c r="C8" s="9" t="str">
        <f>IFERROR(VLOOKUP($D$9,gminy_26[],katalog_gmin_PL26!$E$1,FALSE),"")</f>
        <v>włoszczowski</v>
      </c>
      <c r="D8" s="45"/>
      <c r="E8" s="49"/>
      <c r="F8" s="45" t="str">
        <f>IFERROR(VLOOKUP($E$8,powiaty_26[[powiat]:[kod powiatu2]],2,FALSE),"brak")</f>
        <v>brak</v>
      </c>
    </row>
    <row r="9" spans="1:9" x14ac:dyDescent="0.2">
      <c r="A9" s="10">
        <v>5</v>
      </c>
      <c r="B9" s="25" t="s">
        <v>491</v>
      </c>
      <c r="C9" s="20" t="s">
        <v>225</v>
      </c>
      <c r="D9" s="45" t="str">
        <f>VLOOKUP($C$9,gminy_26[[nazwa gminy]:[kod gminy2]],2,FALSE)</f>
        <v>2613042</v>
      </c>
      <c r="E9" s="97" t="s">
        <v>432</v>
      </c>
      <c r="F9" s="45"/>
    </row>
    <row r="10" spans="1:9" ht="24" x14ac:dyDescent="0.2">
      <c r="A10" s="10">
        <v>6</v>
      </c>
      <c r="B10" s="11" t="s">
        <v>493</v>
      </c>
      <c r="C10" s="9" t="s">
        <v>57</v>
      </c>
      <c r="D10" s="45"/>
      <c r="E10" s="9" t="s">
        <v>57</v>
      </c>
      <c r="F10" s="45"/>
    </row>
    <row r="11" spans="1:9" x14ac:dyDescent="0.2">
      <c r="A11" s="10">
        <v>7</v>
      </c>
      <c r="B11" s="11" t="s">
        <v>12</v>
      </c>
      <c r="C11" s="9" t="s">
        <v>473</v>
      </c>
      <c r="D11" s="45"/>
      <c r="E11" s="9" t="s">
        <v>473</v>
      </c>
      <c r="F11" s="45"/>
    </row>
    <row r="12" spans="1:9" x14ac:dyDescent="0.2">
      <c r="A12" s="10">
        <v>8</v>
      </c>
      <c r="B12" s="11" t="s">
        <v>476</v>
      </c>
      <c r="C12" s="19" t="s">
        <v>574</v>
      </c>
      <c r="D12" s="48"/>
      <c r="E12" s="19"/>
      <c r="F12" s="48"/>
    </row>
    <row r="13" spans="1:9" x14ac:dyDescent="0.2">
      <c r="A13" s="10">
        <v>9</v>
      </c>
      <c r="B13" s="11" t="s">
        <v>477</v>
      </c>
      <c r="C13" s="31" t="s">
        <v>568</v>
      </c>
      <c r="D13" s="48"/>
      <c r="E13" s="19"/>
      <c r="F13" s="48"/>
    </row>
    <row r="14" spans="1:9" x14ac:dyDescent="0.2">
      <c r="A14" s="10">
        <v>10</v>
      </c>
      <c r="B14" s="11" t="s">
        <v>13</v>
      </c>
      <c r="C14" s="19"/>
      <c r="D14" s="48"/>
      <c r="E14" s="19"/>
      <c r="F14" s="48"/>
    </row>
    <row r="15" spans="1:9" ht="12.75" x14ac:dyDescent="0.2">
      <c r="A15" s="10">
        <v>11</v>
      </c>
      <c r="B15" s="11" t="s">
        <v>478</v>
      </c>
      <c r="C15" s="184" t="s">
        <v>569</v>
      </c>
      <c r="D15" s="48"/>
      <c r="E15" s="19"/>
      <c r="F15" s="48"/>
    </row>
    <row r="16" spans="1:9" x14ac:dyDescent="0.2">
      <c r="A16" s="10">
        <v>12</v>
      </c>
      <c r="B16" s="11" t="s">
        <v>9</v>
      </c>
      <c r="C16" s="19"/>
      <c r="D16" s="48"/>
      <c r="E16" s="19"/>
      <c r="F16" s="48"/>
    </row>
    <row r="17" spans="1:6" x14ac:dyDescent="0.2">
      <c r="B17" s="120" t="s">
        <v>311</v>
      </c>
    </row>
    <row r="18" spans="1:6" ht="12" customHeight="1" x14ac:dyDescent="0.2">
      <c r="A18" s="195" t="s">
        <v>497</v>
      </c>
      <c r="B18" s="195"/>
      <c r="C18" s="195"/>
      <c r="D18" s="195"/>
      <c r="E18" s="195"/>
    </row>
    <row r="19" spans="1:6" x14ac:dyDescent="0.2">
      <c r="A19" s="42" t="s">
        <v>7</v>
      </c>
      <c r="B19" s="42" t="s">
        <v>10</v>
      </c>
      <c r="C19" s="42" t="s">
        <v>437</v>
      </c>
      <c r="D19" s="46" t="s">
        <v>313</v>
      </c>
      <c r="E19" s="42" t="s">
        <v>438</v>
      </c>
      <c r="F19" s="46" t="s">
        <v>313</v>
      </c>
    </row>
    <row r="20" spans="1:6" x14ac:dyDescent="0.2">
      <c r="A20" s="10">
        <v>1</v>
      </c>
      <c r="B20" s="11" t="s">
        <v>495</v>
      </c>
      <c r="C20" s="105">
        <f>C$5</f>
        <v>2025</v>
      </c>
      <c r="D20" s="47"/>
      <c r="E20" s="105">
        <f>E$5</f>
        <v>0</v>
      </c>
      <c r="F20" s="47"/>
    </row>
    <row r="21" spans="1:6" x14ac:dyDescent="0.2">
      <c r="A21" s="10">
        <v>2</v>
      </c>
      <c r="B21" s="11" t="s">
        <v>8</v>
      </c>
      <c r="C21" s="30" t="s">
        <v>56</v>
      </c>
      <c r="D21" s="47"/>
      <c r="E21" s="30" t="s">
        <v>56</v>
      </c>
      <c r="F21" s="47"/>
    </row>
    <row r="22" spans="1:6" x14ac:dyDescent="0.2">
      <c r="A22" s="10">
        <v>3</v>
      </c>
      <c r="B22" s="11" t="s">
        <v>16</v>
      </c>
      <c r="C22" s="9" t="str">
        <f>IFERROR(CONCATENATE(VLOOKUP($D$9,gminy_26[],katalog_gmin_PL26!$G$1,FALSE)," (",VLOOKUP($D$9,gminy_26[],katalog_gmin_PL26!$F$1,FALSE),")"),"")</f>
        <v>strefa świętokrzyska (PL2602)</v>
      </c>
      <c r="D22" s="45" t="str">
        <f>VLOOKUP($D$9,gminy_26[],katalog_gmin_PL26!$F$1,FALSE)</f>
        <v>PL2602</v>
      </c>
      <c r="E22" s="9" t="str">
        <f>IFERROR(CONCATENATE(VLOOKUP($F$8,powiaty_26[],katalogi!$E$1,FALSE)," (",VLOOKUP($F$8,powiaty_26[],katalogi!$D$1,FALSE),")"),"")</f>
        <v/>
      </c>
      <c r="F22" s="45" t="str">
        <f>IFERROR(VLOOKUP($F$8,powiaty_26[],katalogi!$D$1,FALSE),"brak")</f>
        <v>brak</v>
      </c>
    </row>
    <row r="23" spans="1:6" x14ac:dyDescent="0.2">
      <c r="A23" s="10">
        <v>4</v>
      </c>
      <c r="B23" s="11" t="s">
        <v>15</v>
      </c>
      <c r="C23" s="9" t="str">
        <f>IFERROR(VLOOKUP($D$9,gminy_26[],katalog_gmin_PL26!$E$1,FALSE),"")</f>
        <v>włoszczowski</v>
      </c>
      <c r="D23" s="45"/>
      <c r="E23" s="106">
        <f>E$8</f>
        <v>0</v>
      </c>
      <c r="F23" s="45" t="str">
        <f>IFERROR(VLOOKUP($E$8,powiaty_26[[powiat]:[kod powiatu2]],2,FALSE),"brak")</f>
        <v>brak</v>
      </c>
    </row>
    <row r="24" spans="1:6" x14ac:dyDescent="0.2">
      <c r="A24" s="10">
        <v>5</v>
      </c>
      <c r="B24" s="25" t="s">
        <v>494</v>
      </c>
      <c r="C24" s="104" t="str">
        <f>C$9</f>
        <v>Radków</v>
      </c>
      <c r="D24" s="45" t="str">
        <f>VLOOKUP($C$9,gminy_26[[nazwa gminy]:[kod gminy2]],2,FALSE)</f>
        <v>2613042</v>
      </c>
      <c r="E24" s="97" t="s">
        <v>432</v>
      </c>
      <c r="F24" s="45"/>
    </row>
    <row r="25" spans="1:6" ht="24" x14ac:dyDescent="0.2">
      <c r="A25" s="10">
        <v>6</v>
      </c>
      <c r="B25" s="25" t="s">
        <v>480</v>
      </c>
      <c r="C25" s="31">
        <v>0</v>
      </c>
      <c r="D25" s="47"/>
      <c r="E25" s="31"/>
      <c r="F25" s="47"/>
    </row>
    <row r="26" spans="1:6" ht="24" x14ac:dyDescent="0.2">
      <c r="A26" s="10">
        <v>7</v>
      </c>
      <c r="B26" s="25" t="s">
        <v>481</v>
      </c>
      <c r="C26" s="31">
        <v>0</v>
      </c>
      <c r="D26" s="47"/>
      <c r="E26" s="31"/>
      <c r="F26" s="47"/>
    </row>
    <row r="27" spans="1:6" x14ac:dyDescent="0.2">
      <c r="B27" s="120" t="s">
        <v>311</v>
      </c>
    </row>
  </sheetData>
  <mergeCells count="3">
    <mergeCell ref="A3:E3"/>
    <mergeCell ref="A18:E18"/>
    <mergeCell ref="A1:C1"/>
  </mergeCells>
  <conditionalFormatting sqref="C20">
    <cfRule type="cellIs" dxfId="9" priority="5" operator="equal">
      <formula>0</formula>
    </cfRule>
  </conditionalFormatting>
  <conditionalFormatting sqref="C24">
    <cfRule type="cellIs" dxfId="8" priority="3" operator="equal">
      <formula>0</formula>
    </cfRule>
  </conditionalFormatting>
  <conditionalFormatting sqref="E20">
    <cfRule type="cellIs" dxfId="7" priority="4" operator="equal">
      <formula>0</formula>
    </cfRule>
  </conditionalFormatting>
  <conditionalFormatting sqref="E23">
    <cfRule type="cellIs" dxfId="6" priority="2" operator="equal">
      <formula>0</formula>
    </cfRule>
  </conditionalFormatting>
  <conditionalFormatting sqref="E28">
    <cfRule type="containsErrors" dxfId="5" priority="1">
      <formula>ISERROR(E28)</formula>
    </cfRule>
  </conditionalFormatting>
  <dataValidations count="4">
    <dataValidation type="list" allowBlank="1" showInputMessage="1" showErrorMessage="1" sqref="C9 C24">
      <formula1>nazwy_gmin</formula1>
    </dataValidation>
    <dataValidation type="list" allowBlank="1" showInputMessage="1" showErrorMessage="1" sqref="E23">
      <formula1>nazwy_powiaty</formula1>
    </dataValidation>
    <dataValidation type="list" allowBlank="1" showInputMessage="1" showErrorMessage="1" sqref="C5:E5">
      <formula1>"2020,2021,2022,2023,2024,2025,2026"</formula1>
    </dataValidation>
    <dataValidation type="list" allowBlank="1" showInputMessage="1" showErrorMessage="1" sqref="E8">
      <formula1>Powiaty</formula1>
    </dataValidation>
  </dataValidations>
  <hyperlinks>
    <hyperlink ref="H5" location="tab.2_EE_gminy!A1" tooltip="Tabela EE dla gmin" display="tab.2_EE_gminy"/>
    <hyperlink ref="H6" location="tab.3_KPP!A1" tooltip="Tabela kontrole" display="tab.3_KPP"/>
    <hyperlink ref="H7" location="tab.5_PDK!A1" tooltip="PDK" display="tab.5_PDK"/>
    <hyperlink ref="H4" location="tab.1_ZSO_gminy!A1" tooltip="Tabela ZSO dla gmin" display="tab.1_ZSO_gminy"/>
    <hyperlink ref="C15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1"/>
  <sheetViews>
    <sheetView zoomScale="90" zoomScaleNormal="90" workbookViewId="0">
      <pane xSplit="4" ySplit="10" topLeftCell="G11" activePane="bottomRight" state="frozen"/>
      <selection pane="topRight" activeCell="D1" sqref="D1"/>
      <selection pane="bottomLeft" activeCell="A8" sqref="A8"/>
      <selection pane="bottomRight" activeCell="P12" sqref="P12"/>
    </sheetView>
  </sheetViews>
  <sheetFormatPr defaultColWidth="9.140625" defaultRowHeight="12" x14ac:dyDescent="0.2"/>
  <cols>
    <col min="1" max="1" width="4.42578125" style="1" customWidth="1"/>
    <col min="2" max="2" width="12.7109375" style="1" customWidth="1"/>
    <col min="3" max="3" width="12.140625" style="1" customWidth="1"/>
    <col min="4" max="4" width="13.140625" style="1" customWidth="1"/>
    <col min="5" max="5" width="37.7109375" style="1" customWidth="1"/>
    <col min="6" max="6" width="29.7109375" style="1" customWidth="1"/>
    <col min="7" max="7" width="15.140625" style="1" customWidth="1"/>
    <col min="8" max="8" width="74.85546875" style="1" customWidth="1"/>
    <col min="9" max="9" width="15.28515625" style="1" customWidth="1"/>
    <col min="10" max="10" width="13.140625" style="1" customWidth="1"/>
    <col min="11" max="11" width="12.85546875" style="1" customWidth="1"/>
    <col min="12" max="12" width="12.42578125" style="1" customWidth="1"/>
    <col min="13" max="13" width="12" style="1" customWidth="1"/>
    <col min="14" max="14" width="12.85546875" style="1" customWidth="1"/>
    <col min="15" max="15" width="23" style="1" customWidth="1"/>
    <col min="16" max="16" width="41.28515625" style="1" customWidth="1"/>
    <col min="17" max="17" width="9.140625" style="1"/>
    <col min="18" max="18" width="11" style="1" hidden="1" customWidth="1"/>
    <col min="19" max="20" width="9.140625" style="1" hidden="1" customWidth="1"/>
    <col min="21" max="16384" width="9.140625" style="1"/>
  </cols>
  <sheetData>
    <row r="1" spans="1:20" ht="15.75" thickBot="1" x14ac:dyDescent="0.25">
      <c r="A1" s="121" t="s">
        <v>471</v>
      </c>
    </row>
    <row r="2" spans="1:20" ht="16.5" thickBot="1" x14ac:dyDescent="0.25">
      <c r="C2" s="59"/>
      <c r="D2" s="93"/>
      <c r="E2" s="94" t="s">
        <v>362</v>
      </c>
      <c r="F2" s="53">
        <f>IF(tabela_informacyjna_dla_JST!$C$5=0,"brak roku sprawozdawczego",tabela_informacyjna_dla_JST!$C$5)</f>
        <v>2025</v>
      </c>
    </row>
    <row r="3" spans="1:20" ht="18" thickBot="1" x14ac:dyDescent="0.25">
      <c r="C3" s="59"/>
      <c r="D3" s="93"/>
      <c r="E3" s="94" t="s">
        <v>451</v>
      </c>
      <c r="F3" s="79">
        <f>IFERROR(VLOOKUP(tabela_informacyjna_dla_JST!$D$9,gminy_26[],katalog_gmin_PL26!$H$1,FALSE),"brak nazwy gminy")</f>
        <v>19450</v>
      </c>
      <c r="G3" s="54"/>
      <c r="H3" s="54"/>
      <c r="I3" s="54"/>
      <c r="J3" s="54"/>
      <c r="K3" s="54"/>
      <c r="L3" s="54"/>
      <c r="M3" s="54"/>
      <c r="N3" s="54"/>
      <c r="R3" s="54"/>
    </row>
    <row r="4" spans="1:20" ht="18" thickBot="1" x14ac:dyDescent="0.25">
      <c r="C4" s="59"/>
      <c r="D4" s="93"/>
      <c r="E4" s="94" t="s">
        <v>430</v>
      </c>
      <c r="F4" s="79">
        <f>IFERROR(VLOOKUP(tabela_informacyjna_dla_JST!$D$9,gminy_26[],(HLOOKUP($F$2,katalog_gmin_PL26!$T$2:$Z$3,2,FALSE)),FALSE),"brak nazwy gminy lub roku")</f>
        <v>5520</v>
      </c>
      <c r="G4" s="54"/>
      <c r="H4" s="54"/>
      <c r="I4" s="201" t="s">
        <v>332</v>
      </c>
      <c r="J4" s="202"/>
      <c r="K4" s="202"/>
      <c r="L4" s="202"/>
      <c r="M4" s="202"/>
      <c r="N4" s="202"/>
      <c r="O4" s="203"/>
      <c r="R4" s="54"/>
    </row>
    <row r="5" spans="1:20" ht="32.25" x14ac:dyDescent="0.2">
      <c r="G5" s="54"/>
      <c r="H5" s="54"/>
      <c r="I5" s="95" t="s">
        <v>431</v>
      </c>
      <c r="J5" s="80" t="s">
        <v>25</v>
      </c>
      <c r="K5" s="80" t="s">
        <v>47</v>
      </c>
      <c r="L5" s="80" t="s">
        <v>47</v>
      </c>
      <c r="M5" s="80" t="s">
        <v>47</v>
      </c>
      <c r="N5" s="81"/>
      <c r="O5" s="81"/>
      <c r="R5" s="54"/>
    </row>
    <row r="6" spans="1:20" ht="22.15" customHeight="1" x14ac:dyDescent="0.2">
      <c r="A6" s="12" t="s">
        <v>405</v>
      </c>
      <c r="E6" s="13"/>
      <c r="F6" s="13"/>
      <c r="G6" s="13"/>
      <c r="H6" s="13"/>
      <c r="I6" s="96">
        <f t="shared" ref="I6:O6" si="0">SUM(I11:I31)</f>
        <v>2169</v>
      </c>
      <c r="J6" s="96">
        <f t="shared" si="0"/>
        <v>14</v>
      </c>
      <c r="K6" s="90">
        <f t="shared" si="0"/>
        <v>1078.1580739999999</v>
      </c>
      <c r="L6" s="90">
        <f t="shared" si="0"/>
        <v>1062.5845829999998</v>
      </c>
      <c r="M6" s="62">
        <f t="shared" si="0"/>
        <v>0.61483409</v>
      </c>
      <c r="N6" s="56">
        <f t="shared" si="0"/>
        <v>1081250.54</v>
      </c>
      <c r="O6" s="56">
        <f t="shared" si="0"/>
        <v>918200</v>
      </c>
      <c r="P6" s="13"/>
      <c r="R6" s="54"/>
    </row>
    <row r="7" spans="1:20" ht="18" customHeight="1" x14ac:dyDescent="0.2">
      <c r="A7" s="197" t="s">
        <v>7</v>
      </c>
      <c r="B7" s="197" t="s">
        <v>26</v>
      </c>
      <c r="C7" s="197" t="s">
        <v>0</v>
      </c>
      <c r="D7" s="197" t="s">
        <v>22</v>
      </c>
      <c r="E7" s="197" t="s">
        <v>23</v>
      </c>
      <c r="F7" s="197" t="s">
        <v>19</v>
      </c>
      <c r="G7" s="197" t="s">
        <v>18</v>
      </c>
      <c r="H7" s="204" t="s">
        <v>396</v>
      </c>
      <c r="I7" s="204"/>
      <c r="J7" s="204"/>
      <c r="K7" s="205" t="s">
        <v>483</v>
      </c>
      <c r="L7" s="206"/>
      <c r="M7" s="207"/>
      <c r="N7" s="197" t="s">
        <v>400</v>
      </c>
      <c r="O7" s="199" t="s">
        <v>490</v>
      </c>
      <c r="P7" s="197" t="s">
        <v>486</v>
      </c>
      <c r="R7" s="196" t="s">
        <v>313</v>
      </c>
      <c r="S7" s="196"/>
      <c r="T7" s="196"/>
    </row>
    <row r="8" spans="1:20" ht="51" customHeight="1" x14ac:dyDescent="0.2">
      <c r="A8" s="198"/>
      <c r="B8" s="198"/>
      <c r="C8" s="198"/>
      <c r="D8" s="198"/>
      <c r="E8" s="198"/>
      <c r="F8" s="198"/>
      <c r="G8" s="198"/>
      <c r="H8" s="33" t="s">
        <v>482</v>
      </c>
      <c r="I8" s="33" t="s">
        <v>450</v>
      </c>
      <c r="J8" s="33" t="s">
        <v>397</v>
      </c>
      <c r="K8" s="33" t="s">
        <v>31</v>
      </c>
      <c r="L8" s="33" t="s">
        <v>32</v>
      </c>
      <c r="M8" s="33" t="s">
        <v>35</v>
      </c>
      <c r="N8" s="198"/>
      <c r="O8" s="200"/>
      <c r="P8" s="198"/>
      <c r="R8" s="92" t="s">
        <v>399</v>
      </c>
      <c r="S8" s="92" t="s">
        <v>6</v>
      </c>
      <c r="T8" s="92" t="s">
        <v>2</v>
      </c>
    </row>
    <row r="9" spans="1:20" x14ac:dyDescent="0.2">
      <c r="A9" s="16">
        <v>1</v>
      </c>
      <c r="B9" s="16">
        <f>A9+1</f>
        <v>2</v>
      </c>
      <c r="C9" s="16">
        <f>B9+1</f>
        <v>3</v>
      </c>
      <c r="D9" s="16">
        <f>C9+1</f>
        <v>4</v>
      </c>
      <c r="E9" s="16">
        <f t="shared" ref="E9:P9" si="1">D9+1</f>
        <v>5</v>
      </c>
      <c r="F9" s="16">
        <f t="shared" si="1"/>
        <v>6</v>
      </c>
      <c r="G9" s="16">
        <f t="shared" si="1"/>
        <v>7</v>
      </c>
      <c r="H9" s="16">
        <f t="shared" si="1"/>
        <v>8</v>
      </c>
      <c r="I9" s="16">
        <f t="shared" si="1"/>
        <v>9</v>
      </c>
      <c r="J9" s="16">
        <f t="shared" ref="J9" si="2">I9+1</f>
        <v>10</v>
      </c>
      <c r="K9" s="16">
        <f t="shared" ref="K9" si="3">J9+1</f>
        <v>11</v>
      </c>
      <c r="L9" s="16">
        <f t="shared" ref="L9" si="4">K9+1</f>
        <v>12</v>
      </c>
      <c r="M9" s="16">
        <f t="shared" ref="M9" si="5">L9+1</f>
        <v>13</v>
      </c>
      <c r="N9" s="16">
        <f t="shared" ref="N9" si="6">M9+1</f>
        <v>14</v>
      </c>
      <c r="O9" s="16">
        <f t="shared" si="1"/>
        <v>15</v>
      </c>
      <c r="P9" s="16">
        <f t="shared" si="1"/>
        <v>16</v>
      </c>
      <c r="R9" s="75" t="s">
        <v>427</v>
      </c>
      <c r="S9" s="75" t="s">
        <v>428</v>
      </c>
      <c r="T9" s="75" t="s">
        <v>429</v>
      </c>
    </row>
    <row r="10" spans="1:20" ht="96" x14ac:dyDescent="0.2">
      <c r="A10" s="14"/>
      <c r="B10" s="88" t="s">
        <v>55</v>
      </c>
      <c r="C10" s="88" t="s">
        <v>34</v>
      </c>
      <c r="D10" s="88" t="s">
        <v>34</v>
      </c>
      <c r="E10" s="88" t="s">
        <v>34</v>
      </c>
      <c r="F10" s="124" t="s">
        <v>20</v>
      </c>
      <c r="G10" s="124" t="s">
        <v>395</v>
      </c>
      <c r="H10" s="124" t="s">
        <v>398</v>
      </c>
      <c r="I10" s="125" t="s">
        <v>426</v>
      </c>
      <c r="J10" s="125" t="s">
        <v>425</v>
      </c>
      <c r="K10" s="88" t="s">
        <v>34</v>
      </c>
      <c r="L10" s="88" t="s">
        <v>34</v>
      </c>
      <c r="M10" s="88" t="s">
        <v>34</v>
      </c>
      <c r="N10" s="126" t="s">
        <v>21</v>
      </c>
      <c r="O10" s="126" t="s">
        <v>29</v>
      </c>
      <c r="P10" s="126" t="s">
        <v>484</v>
      </c>
      <c r="R10" s="76" t="s">
        <v>313</v>
      </c>
      <c r="S10" s="76" t="s">
        <v>313</v>
      </c>
      <c r="T10" s="76" t="s">
        <v>313</v>
      </c>
    </row>
    <row r="11" spans="1:20" ht="22.5" customHeight="1" x14ac:dyDescent="0.2">
      <c r="A11" s="3">
        <v>1</v>
      </c>
      <c r="B11" s="15" t="str">
        <f>tabela_informacyjna_dla_JST!$C$9</f>
        <v>Radków</v>
      </c>
      <c r="C11" s="15" t="str">
        <f>tabela_informacyjna_dla_JST!$C$8</f>
        <v>włoszczowski</v>
      </c>
      <c r="D11" s="51" t="str">
        <f ca="1">IFERROR(_xlfn.CONCAT(tabela_informacyjna_dla_JST!$D$7,"_ZSO"),"brak nazwy gminy")</f>
        <v>brak nazwy gminy</v>
      </c>
      <c r="E11" s="22" t="str">
        <f ca="1">IFERROR(VLOOKUP($D11,kat_zadania[],katalogi!$N$1-katalogi!$L$1,FALSE),"brak nazwy gminy")</f>
        <v>brak nazwy gminy</v>
      </c>
      <c r="F11" s="31"/>
      <c r="G11" s="31"/>
      <c r="H11" s="31"/>
      <c r="I11" s="112"/>
      <c r="J11" s="112"/>
      <c r="K11" s="74" t="str">
        <f>IFERROR(VLOOKUP($R11,kat_wsk_efektu[],wskaźniki_efektu!C$1,FALSE)*$I11/1000,"")</f>
        <v/>
      </c>
      <c r="L11" s="74" t="str">
        <f>IFERROR(VLOOKUP($R11,kat_wsk_efektu[],wskaźniki_efektu!D$1,FALSE)*$I11/1000,"")</f>
        <v/>
      </c>
      <c r="M11" s="74" t="str">
        <f>IFERROR(VLOOKUP($R11,kat_wsk_efektu[],wskaźniki_efektu!E$1,FALSE)*$I11/1000,"")</f>
        <v/>
      </c>
      <c r="N11" s="113"/>
      <c r="O11" s="113"/>
      <c r="P11" s="114"/>
      <c r="R11" s="77" t="str">
        <f>IFERROR(VLOOKUP($H11,wskaźniki_efektu!$B$21:$C$34,wskaźniki_efektu!$C$1-wskaźniki_efektu!$A$1,FALSE),"")</f>
        <v/>
      </c>
      <c r="S11" s="91" t="str">
        <f>VLOOKUP($B11,gminy_26[[nazwa gminy]:[kod gminy2]],2,FALSE)</f>
        <v>2613042</v>
      </c>
      <c r="T11" s="91" t="str">
        <f>VLOOKUP($S11,gminy_26[],katalog_gmin_PL26!$F$1,FALSE)</f>
        <v>PL2602</v>
      </c>
    </row>
    <row r="12" spans="1:20" ht="22.5" customHeight="1" x14ac:dyDescent="0.2">
      <c r="A12" s="3">
        <v>2</v>
      </c>
      <c r="B12" s="15" t="str">
        <f>tabela_informacyjna_dla_JST!$C$9</f>
        <v>Radków</v>
      </c>
      <c r="C12" s="15" t="str">
        <f>tabela_informacyjna_dla_JST!$C$8</f>
        <v>włoszczowski</v>
      </c>
      <c r="D12" s="51" t="str">
        <f>IFERROR(CONCATENATE(tabela_informacyjna_dla_JST!$D$7,"_ZSO"),"brak nazwy gminy")</f>
        <v>PL2602_ZSO</v>
      </c>
      <c r="E12" s="22" t="str">
        <f>IFERROR(VLOOKUP($D12,kat_zadania[],katalogi!$N$1-katalogi!$L$1,FALSE),"brak nazwy gminy")</f>
        <v>Ograniczenie emisji z instalacji o małej mocy do 1 MW, w których następuje spalanie paliw stałych</v>
      </c>
      <c r="F12" s="31" t="s">
        <v>577</v>
      </c>
      <c r="G12" s="31" t="s">
        <v>575</v>
      </c>
      <c r="H12" s="31" t="s">
        <v>385</v>
      </c>
      <c r="I12" s="112">
        <v>100</v>
      </c>
      <c r="J12" s="112">
        <v>1</v>
      </c>
      <c r="K12" s="74">
        <f>IFERROR(VLOOKUP($R12,kat_wsk_efektu[],wskaźniki_efektu!C$1,FALSE)*$I12/1000,"")</f>
        <v>48.37</v>
      </c>
      <c r="L12" s="74">
        <f>IFERROR(VLOOKUP($R12,kat_wsk_efektu[],wskaźniki_efektu!D$1,FALSE)*$I12/1000,"")</f>
        <v>47.7224</v>
      </c>
      <c r="M12" s="74">
        <f>IFERROR(VLOOKUP($R12,kat_wsk_efektu[],wskaźniki_efektu!E$1,FALSE)*$I12/1000,"")</f>
        <v>2.7702999999999998E-2</v>
      </c>
      <c r="N12" s="113">
        <v>28000</v>
      </c>
      <c r="O12" s="113">
        <v>12000</v>
      </c>
      <c r="P12" s="114" t="s">
        <v>576</v>
      </c>
      <c r="R12" s="77" t="str">
        <f>IFERROR(VLOOKUP($H12,wskaźniki_efektu!$B$21:$C$34,wskaźniki_efektu!$C$1-wskaźniki_efektu!$A$1,FALSE),"")</f>
        <v>w_WK_eco_b</v>
      </c>
      <c r="S12" s="91" t="str">
        <f>VLOOKUP($B12,gminy_26[[nazwa gminy]:[kod gminy2]],2,FALSE)</f>
        <v>2613042</v>
      </c>
      <c r="T12" s="91" t="str">
        <f>VLOOKUP($S12,gminy_26[],katalog_gmin_PL26!$F$1,FALSE)</f>
        <v>PL2602</v>
      </c>
    </row>
    <row r="13" spans="1:20" ht="22.5" customHeight="1" x14ac:dyDescent="0.2">
      <c r="A13" s="3">
        <v>3</v>
      </c>
      <c r="B13" s="15" t="str">
        <f>tabela_informacyjna_dla_JST!$C$9</f>
        <v>Radków</v>
      </c>
      <c r="C13" s="15" t="str">
        <f>tabela_informacyjna_dla_JST!$C$8</f>
        <v>włoszczowski</v>
      </c>
      <c r="D13" s="51" t="str">
        <f>IFERROR(CONCATENATE(tabela_informacyjna_dla_JST!$D$7,"_ZSO"),"brak nazwy gminy")</f>
        <v>PL2602_ZSO</v>
      </c>
      <c r="E13" s="22" t="str">
        <f>IFERROR(VLOOKUP($D13,kat_zadania[],katalogi!$N$1-katalogi!$L$1,FALSE),"brak nazwy gminy")</f>
        <v>Ograniczenie emisji z instalacji o małej mocy do 1 MW, w których następuje spalanie paliw stałych</v>
      </c>
      <c r="F13" s="31" t="s">
        <v>578</v>
      </c>
      <c r="G13" s="31" t="s">
        <v>575</v>
      </c>
      <c r="H13" s="31" t="s">
        <v>385</v>
      </c>
      <c r="I13" s="112">
        <v>200</v>
      </c>
      <c r="J13" s="112">
        <v>1</v>
      </c>
      <c r="K13" s="74">
        <f>IFERROR(VLOOKUP($R13,kat_wsk_efektu[],wskaźniki_efektu!C$1,FALSE)*$I13/1000,"")</f>
        <v>96.74</v>
      </c>
      <c r="L13" s="74">
        <f>IFERROR(VLOOKUP($R13,kat_wsk_efektu[],wskaźniki_efektu!D$1,FALSE)*$I13/1000,"")</f>
        <v>95.444800000000001</v>
      </c>
      <c r="M13" s="74">
        <f>IFERROR(VLOOKUP($R13,kat_wsk_efektu[],wskaźniki_efektu!E$1,FALSE)*$I13/1000,"")</f>
        <v>5.5405999999999997E-2</v>
      </c>
      <c r="N13" s="113">
        <v>32000</v>
      </c>
      <c r="O13" s="113">
        <v>32000</v>
      </c>
      <c r="P13" s="114" t="s">
        <v>576</v>
      </c>
      <c r="R13" s="77" t="str">
        <f>IFERROR(VLOOKUP($H13,wskaźniki_efektu!$B$21:$C$34,wskaźniki_efektu!$C$1-wskaźniki_efektu!$A$1,FALSE),"")</f>
        <v>w_WK_eco_b</v>
      </c>
      <c r="S13" s="91" t="str">
        <f>VLOOKUP($B13,gminy_26[[nazwa gminy]:[kod gminy2]],2,FALSE)</f>
        <v>2613042</v>
      </c>
      <c r="T13" s="91" t="str">
        <f>VLOOKUP($S13,gminy_26[],katalog_gmin_PL26!$F$1,FALSE)</f>
        <v>PL2602</v>
      </c>
    </row>
    <row r="14" spans="1:20" ht="22.5" customHeight="1" x14ac:dyDescent="0.2">
      <c r="A14" s="3">
        <v>4</v>
      </c>
      <c r="B14" s="15" t="str">
        <f>tabela_informacyjna_dla_JST!$C$9</f>
        <v>Radków</v>
      </c>
      <c r="C14" s="15" t="str">
        <f>tabela_informacyjna_dla_JST!$C$8</f>
        <v>włoszczowski</v>
      </c>
      <c r="D14" s="51" t="str">
        <f>IFERROR(CONCATENATE(tabela_informacyjna_dla_JST!$D$7,"_ZSO"),"brak nazwy gminy")</f>
        <v>PL2602_ZSO</v>
      </c>
      <c r="E14" s="22" t="str">
        <f>IFERROR(VLOOKUP($D14,kat_zadania[],katalogi!$N$1-katalogi!$L$1,FALSE),"brak nazwy gminy")</f>
        <v>Ograniczenie emisji z instalacji o małej mocy do 1 MW, w których następuje spalanie paliw stałych</v>
      </c>
      <c r="F14" s="31" t="s">
        <v>579</v>
      </c>
      <c r="G14" s="31" t="s">
        <v>575</v>
      </c>
      <c r="H14" s="31" t="s">
        <v>383</v>
      </c>
      <c r="I14" s="112">
        <v>700</v>
      </c>
      <c r="J14" s="112">
        <v>5</v>
      </c>
      <c r="K14" s="74">
        <f>IFERROR(VLOOKUP($R14,kat_wsk_efektu[],wskaźniki_efektu!C$1,FALSE)*$I14/1000,"")</f>
        <v>351.70029999999997</v>
      </c>
      <c r="L14" s="74">
        <f>IFERROR(VLOOKUP($R14,kat_wsk_efektu[],wskaźniki_efektu!D$1,FALSE)*$I14/1000,"")</f>
        <v>346.47689999999994</v>
      </c>
      <c r="M14" s="74">
        <f>IFERROR(VLOOKUP($R14,kat_wsk_efektu[],wskaźniki_efektu!E$1,FALSE)*$I14/1000,"")</f>
        <v>0.20022800000000002</v>
      </c>
      <c r="N14" s="113">
        <v>314650.02</v>
      </c>
      <c r="O14" s="113">
        <v>329200</v>
      </c>
      <c r="P14" s="114" t="s">
        <v>576</v>
      </c>
      <c r="R14" s="77" t="str">
        <f>IFERROR(VLOOKUP($H14,wskaźniki_efektu!$B$21:$C$34,wskaźniki_efektu!$C$1-wskaźniki_efektu!$A$1,FALSE),"")</f>
        <v>w_pompa</v>
      </c>
      <c r="S14" s="91" t="str">
        <f>VLOOKUP($B14,gminy_26[[nazwa gminy]:[kod gminy2]],2,FALSE)</f>
        <v>2613042</v>
      </c>
      <c r="T14" s="91" t="str">
        <f>VLOOKUP($S14,gminy_26[],katalog_gmin_PL26!$F$1,FALSE)</f>
        <v>PL2602</v>
      </c>
    </row>
    <row r="15" spans="1:20" ht="22.5" customHeight="1" x14ac:dyDescent="0.2">
      <c r="A15" s="3">
        <v>5</v>
      </c>
      <c r="B15" s="15" t="str">
        <f>tabela_informacyjna_dla_JST!$C$9</f>
        <v>Radków</v>
      </c>
      <c r="C15" s="15" t="str">
        <f>tabela_informacyjna_dla_JST!$C$8</f>
        <v>włoszczowski</v>
      </c>
      <c r="D15" s="51" t="str">
        <f>IFERROR(CONCATENATE(tabela_informacyjna_dla_JST!$D$7,"_ZSO"),"brak nazwy gminy")</f>
        <v>PL2602_ZSO</v>
      </c>
      <c r="E15" s="22" t="str">
        <f>IFERROR(VLOOKUP($D15,kat_zadania[],katalogi!$N$1-katalogi!$L$1,FALSE),"brak nazwy gminy")</f>
        <v>Ograniczenie emisji z instalacji o małej mocy do 1 MW, w których następuje spalanie paliw stałych</v>
      </c>
      <c r="F15" s="31" t="s">
        <v>580</v>
      </c>
      <c r="G15" s="31" t="s">
        <v>575</v>
      </c>
      <c r="H15" s="31" t="s">
        <v>390</v>
      </c>
      <c r="I15" s="112">
        <v>244</v>
      </c>
      <c r="J15" s="112">
        <v>1</v>
      </c>
      <c r="K15" s="74">
        <f>IFERROR(VLOOKUP($R15,kat_wsk_efektu[],wskaźniki_efektu!C$1,FALSE)*$I15/1000,"")</f>
        <v>122.592676</v>
      </c>
      <c r="L15" s="74">
        <f>IFERROR(VLOOKUP($R15,kat_wsk_efektu[],wskaźniki_efektu!D$1,FALSE)*$I15/1000,"")</f>
        <v>120.77194799999999</v>
      </c>
      <c r="M15" s="74">
        <f>IFERROR(VLOOKUP($R15,kat_wsk_efektu[],wskaźniki_efektu!E$1,FALSE)*$I15/1000,"")</f>
        <v>6.979376000000001E-2</v>
      </c>
      <c r="N15" s="113">
        <v>115072.18</v>
      </c>
      <c r="O15" s="113">
        <v>61200</v>
      </c>
      <c r="P15" s="114" t="s">
        <v>576</v>
      </c>
      <c r="R15" s="77" t="str">
        <f>IFERROR(VLOOKUP($H15,wskaźniki_efektu!$B$21:$C$34,wskaźniki_efektu!$C$1-wskaźniki_efektu!$A$1,FALSE),"")</f>
        <v>w_pompa</v>
      </c>
      <c r="S15" s="91" t="str">
        <f>VLOOKUP($B15,gminy_26[[nazwa gminy]:[kod gminy2]],2,FALSE)</f>
        <v>2613042</v>
      </c>
      <c r="T15" s="91" t="str">
        <f>VLOOKUP($S15,gminy_26[],katalog_gmin_PL26!$F$1,FALSE)</f>
        <v>PL2602</v>
      </c>
    </row>
    <row r="16" spans="1:20" ht="22.5" customHeight="1" x14ac:dyDescent="0.2">
      <c r="A16" s="3">
        <v>6</v>
      </c>
      <c r="B16" s="15" t="str">
        <f>tabela_informacyjna_dla_JST!$C$9</f>
        <v>Radków</v>
      </c>
      <c r="C16" s="15" t="str">
        <f>tabela_informacyjna_dla_JST!$C$8</f>
        <v>włoszczowski</v>
      </c>
      <c r="D16" s="51" t="str">
        <f>IFERROR(CONCATENATE(tabela_informacyjna_dla_JST!$D$7,"_ZSO"),"brak nazwy gminy")</f>
        <v>PL2602_ZSO</v>
      </c>
      <c r="E16" s="22" t="str">
        <f>IFERROR(VLOOKUP($D16,kat_zadania[],katalogi!$N$1-katalogi!$L$1,FALSE),"brak nazwy gminy")</f>
        <v>Ograniczenie emisji z instalacji o małej mocy do 1 MW, w których następuje spalanie paliw stałych</v>
      </c>
      <c r="F16" s="31" t="s">
        <v>578</v>
      </c>
      <c r="G16" s="31" t="s">
        <v>575</v>
      </c>
      <c r="H16" s="31" t="s">
        <v>392</v>
      </c>
      <c r="I16" s="112">
        <v>457</v>
      </c>
      <c r="J16" s="112">
        <v>3</v>
      </c>
      <c r="K16" s="74">
        <f>IFERROR(VLOOKUP($R16,kat_wsk_efektu[],wskaźniki_efektu!C$1,FALSE)*$I16/1000,"")</f>
        <v>223.618326</v>
      </c>
      <c r="L16" s="74">
        <f>IFERROR(VLOOKUP($R16,kat_wsk_efektu[],wskaźniki_efektu!D$1,FALSE)*$I16/1000,"")</f>
        <v>220.52397900000003</v>
      </c>
      <c r="M16" s="74">
        <f>IFERROR(VLOOKUP($R16,kat_wsk_efektu[],wskaźniki_efektu!E$1,FALSE)*$I16/1000,"")</f>
        <v>0.12783660999999999</v>
      </c>
      <c r="N16" s="113">
        <v>267332.03000000003</v>
      </c>
      <c r="O16" s="113">
        <v>224400</v>
      </c>
      <c r="P16" s="114" t="s">
        <v>576</v>
      </c>
      <c r="R16" s="77" t="str">
        <f>IFERROR(VLOOKUP($H16,wskaźniki_efektu!$B$21:$C$34,wskaźniki_efektu!$C$1-wskaźniki_efektu!$A$1,FALSE),"")</f>
        <v>termo+WK_eco_b</v>
      </c>
      <c r="S16" s="91" t="str">
        <f>VLOOKUP($B16,gminy_26[[nazwa gminy]:[kod gminy2]],2,FALSE)</f>
        <v>2613042</v>
      </c>
      <c r="T16" s="91" t="str">
        <f>VLOOKUP($S16,gminy_26[],katalog_gmin_PL26!$F$1,FALSE)</f>
        <v>PL2602</v>
      </c>
    </row>
    <row r="17" spans="1:20" ht="22.5" customHeight="1" x14ac:dyDescent="0.2">
      <c r="A17" s="3">
        <v>7</v>
      </c>
      <c r="B17" s="15" t="str">
        <f>tabela_informacyjna_dla_JST!$C$9</f>
        <v>Radków</v>
      </c>
      <c r="C17" s="15" t="str">
        <f>tabela_informacyjna_dla_JST!$C$8</f>
        <v>włoszczowski</v>
      </c>
      <c r="D17" s="51" t="str">
        <f>IFERROR(CONCATENATE(tabela_informacyjna_dla_JST!$D$7,"_ZSO"),"brak nazwy gminy")</f>
        <v>PL2602_ZSO</v>
      </c>
      <c r="E17" s="22" t="str">
        <f>IFERROR(VLOOKUP($D17,kat_zadania[],katalogi!$N$1-katalogi!$L$1,FALSE),"brak nazwy gminy")</f>
        <v>Ograniczenie emisji z instalacji o małej mocy do 1 MW, w których następuje spalanie paliw stałych</v>
      </c>
      <c r="F17" s="31" t="s">
        <v>581</v>
      </c>
      <c r="G17" s="31" t="s">
        <v>575</v>
      </c>
      <c r="H17" s="31" t="s">
        <v>390</v>
      </c>
      <c r="I17" s="112">
        <v>230</v>
      </c>
      <c r="J17" s="112">
        <v>1</v>
      </c>
      <c r="K17" s="74">
        <f>IFERROR(VLOOKUP($R17,kat_wsk_efektu[],wskaźniki_efektu!C$1,FALSE)*$I17/1000,"")</f>
        <v>115.55866999999999</v>
      </c>
      <c r="L17" s="74">
        <f>IFERROR(VLOOKUP($R17,kat_wsk_efektu[],wskaźniki_efektu!D$1,FALSE)*$I17/1000,"")</f>
        <v>113.84241</v>
      </c>
      <c r="M17" s="74">
        <f>IFERROR(VLOOKUP($R17,kat_wsk_efektu[],wskaźniki_efektu!E$1,FALSE)*$I17/1000,"")</f>
        <v>6.5789200000000006E-2</v>
      </c>
      <c r="N17" s="113">
        <v>122796.31</v>
      </c>
      <c r="O17" s="113">
        <v>91200</v>
      </c>
      <c r="P17" s="114" t="s">
        <v>576</v>
      </c>
      <c r="R17" s="77" t="str">
        <f>IFERROR(VLOOKUP($H17,wskaźniki_efektu!$B$21:$C$34,wskaźniki_efektu!$C$1-wskaźniki_efektu!$A$1,FALSE),"")</f>
        <v>w_pompa</v>
      </c>
      <c r="S17" s="91" t="str">
        <f>VLOOKUP($B17,gminy_26[[nazwa gminy]:[kod gminy2]],2,FALSE)</f>
        <v>2613042</v>
      </c>
      <c r="T17" s="91" t="str">
        <f>VLOOKUP($S17,gminy_26[],katalog_gmin_PL26!$F$1,FALSE)</f>
        <v>PL2602</v>
      </c>
    </row>
    <row r="18" spans="1:20" ht="22.5" customHeight="1" x14ac:dyDescent="0.2">
      <c r="A18" s="3">
        <v>8</v>
      </c>
      <c r="B18" s="15" t="str">
        <f>tabela_informacyjna_dla_JST!$C$9</f>
        <v>Radków</v>
      </c>
      <c r="C18" s="15" t="str">
        <f>tabela_informacyjna_dla_JST!$C$8</f>
        <v>włoszczowski</v>
      </c>
      <c r="D18" s="51" t="str">
        <f>IFERROR(CONCATENATE(tabela_informacyjna_dla_JST!$D$7,"_ZSO"),"brak nazwy gminy")</f>
        <v>PL2602_ZSO</v>
      </c>
      <c r="E18" s="22" t="str">
        <f>IFERROR(VLOOKUP($D18,kat_zadania[],katalogi!$N$1-katalogi!$L$1,FALSE),"brak nazwy gminy")</f>
        <v>Ograniczenie emisji z instalacji o małej mocy do 1 MW, w których następuje spalanie paliw stałych</v>
      </c>
      <c r="F18" s="31" t="s">
        <v>579</v>
      </c>
      <c r="G18" s="31" t="s">
        <v>575</v>
      </c>
      <c r="H18" s="31" t="s">
        <v>390</v>
      </c>
      <c r="I18" s="112">
        <v>238</v>
      </c>
      <c r="J18" s="112">
        <v>2</v>
      </c>
      <c r="K18" s="74">
        <f>IFERROR(VLOOKUP($R18,kat_wsk_efektu[],wskaźniki_efektu!C$1,FALSE)*$I18/1000,"")</f>
        <v>119.578102</v>
      </c>
      <c r="L18" s="74">
        <f>IFERROR(VLOOKUP($R18,kat_wsk_efektu[],wskaźniki_efektu!D$1,FALSE)*$I18/1000,"")</f>
        <v>117.80214599999999</v>
      </c>
      <c r="M18" s="74">
        <f>IFERROR(VLOOKUP($R18,kat_wsk_efektu[],wskaźniki_efektu!E$1,FALSE)*$I18/1000,"")</f>
        <v>6.8077520000000002E-2</v>
      </c>
      <c r="N18" s="113">
        <v>201400</v>
      </c>
      <c r="O18" s="113">
        <v>168200</v>
      </c>
      <c r="P18" s="114" t="s">
        <v>576</v>
      </c>
      <c r="R18" s="77" t="str">
        <f>IFERROR(VLOOKUP($H18,wskaźniki_efektu!$B$21:$C$34,wskaźniki_efektu!$C$1-wskaźniki_efektu!$A$1,FALSE),"")</f>
        <v>w_pompa</v>
      </c>
      <c r="S18" s="91" t="str">
        <f>VLOOKUP($B18,gminy_26[[nazwa gminy]:[kod gminy2]],2,FALSE)</f>
        <v>2613042</v>
      </c>
      <c r="T18" s="91" t="str">
        <f>VLOOKUP($S18,gminy_26[],katalog_gmin_PL26!$F$1,FALSE)</f>
        <v>PL2602</v>
      </c>
    </row>
    <row r="19" spans="1:20" ht="22.5" customHeight="1" x14ac:dyDescent="0.2">
      <c r="A19" s="3">
        <v>9</v>
      </c>
      <c r="B19" s="15" t="str">
        <f>tabela_informacyjna_dla_JST!$C$9</f>
        <v>Radków</v>
      </c>
      <c r="C19" s="15" t="str">
        <f>tabela_informacyjna_dla_JST!$C$8</f>
        <v>włoszczowski</v>
      </c>
      <c r="D19" s="51" t="str">
        <f>IFERROR(CONCATENATE(tabela_informacyjna_dla_JST!$D$7,"_ZSO"),"brak nazwy gminy")</f>
        <v>PL2602_ZSO</v>
      </c>
      <c r="E19" s="22" t="str">
        <f>IFERROR(VLOOKUP($D19,kat_zadania[],katalogi!$N$1-katalogi!$L$1,FALSE),"brak nazwy gminy")</f>
        <v>Ograniczenie emisji z instalacji o małej mocy do 1 MW, w których następuje spalanie paliw stałych</v>
      </c>
      <c r="F19" s="31"/>
      <c r="G19" s="31"/>
      <c r="H19" s="31"/>
      <c r="I19" s="112"/>
      <c r="J19" s="112"/>
      <c r="K19" s="74" t="str">
        <f>IFERROR(VLOOKUP($R19,kat_wsk_efektu[],wskaźniki_efektu!C$1,FALSE)*$I19/1000,"")</f>
        <v/>
      </c>
      <c r="L19" s="74" t="str">
        <f>IFERROR(VLOOKUP($R19,kat_wsk_efektu[],wskaźniki_efektu!D$1,FALSE)*$I19/1000,"")</f>
        <v/>
      </c>
      <c r="M19" s="74" t="str">
        <f>IFERROR(VLOOKUP($R19,kat_wsk_efektu[],wskaźniki_efektu!E$1,FALSE)*$I19/1000,"")</f>
        <v/>
      </c>
      <c r="N19" s="113"/>
      <c r="O19" s="113"/>
      <c r="P19" s="114"/>
      <c r="R19" s="77" t="str">
        <f>IFERROR(VLOOKUP($H19,wskaźniki_efektu!$B$21:$C$34,wskaźniki_efektu!$C$1-wskaźniki_efektu!$A$1,FALSE),"")</f>
        <v/>
      </c>
      <c r="S19" s="91" t="str">
        <f>VLOOKUP($B19,gminy_26[[nazwa gminy]:[kod gminy2]],2,FALSE)</f>
        <v>2613042</v>
      </c>
      <c r="T19" s="91" t="str">
        <f>VLOOKUP($S19,gminy_26[],katalog_gmin_PL26!$F$1,FALSE)</f>
        <v>PL2602</v>
      </c>
    </row>
    <row r="20" spans="1:20" ht="22.5" customHeight="1" x14ac:dyDescent="0.2">
      <c r="A20" s="3">
        <v>10</v>
      </c>
      <c r="B20" s="15" t="str">
        <f>tabela_informacyjna_dla_JST!$C$9</f>
        <v>Radków</v>
      </c>
      <c r="C20" s="15" t="str">
        <f>tabela_informacyjna_dla_JST!$C$8</f>
        <v>włoszczowski</v>
      </c>
      <c r="D20" s="51" t="str">
        <f>IFERROR(CONCATENATE(tabela_informacyjna_dla_JST!$D$7,"_ZSO"),"brak nazwy gminy")</f>
        <v>PL2602_ZSO</v>
      </c>
      <c r="E20" s="22" t="str">
        <f>IFERROR(VLOOKUP($D20,kat_zadania[],katalogi!$N$1-katalogi!$L$1,FALSE),"brak nazwy gminy")</f>
        <v>Ograniczenie emisji z instalacji o małej mocy do 1 MW, w których następuje spalanie paliw stałych</v>
      </c>
      <c r="F20" s="31"/>
      <c r="G20" s="31"/>
      <c r="H20" s="31"/>
      <c r="I20" s="112"/>
      <c r="J20" s="112"/>
      <c r="K20" s="74" t="str">
        <f>IFERROR(VLOOKUP($R20,kat_wsk_efektu[],wskaźniki_efektu!C$1,FALSE)*$I20/1000,"")</f>
        <v/>
      </c>
      <c r="L20" s="74" t="str">
        <f>IFERROR(VLOOKUP($R20,kat_wsk_efektu[],wskaźniki_efektu!D$1,FALSE)*$I20/1000,"")</f>
        <v/>
      </c>
      <c r="M20" s="74" t="str">
        <f>IFERROR(VLOOKUP($R20,kat_wsk_efektu[],wskaźniki_efektu!E$1,FALSE)*$I20/1000,"")</f>
        <v/>
      </c>
      <c r="N20" s="113"/>
      <c r="O20" s="113"/>
      <c r="P20" s="114"/>
      <c r="R20" s="77" t="str">
        <f>IFERROR(VLOOKUP($H20,wskaźniki_efektu!$B$21:$C$34,wskaźniki_efektu!$C$1-wskaźniki_efektu!$A$1,FALSE),"")</f>
        <v/>
      </c>
      <c r="S20" s="91" t="str">
        <f>VLOOKUP($B20,gminy_26[[nazwa gminy]:[kod gminy2]],2,FALSE)</f>
        <v>2613042</v>
      </c>
      <c r="T20" s="91" t="str">
        <f>VLOOKUP($S20,gminy_26[],katalog_gmin_PL26!$F$1,FALSE)</f>
        <v>PL2602</v>
      </c>
    </row>
    <row r="21" spans="1:20" ht="22.5" customHeight="1" x14ac:dyDescent="0.2">
      <c r="A21" s="3">
        <v>11</v>
      </c>
      <c r="B21" s="15" t="str">
        <f>tabela_informacyjna_dla_JST!$C$9</f>
        <v>Radków</v>
      </c>
      <c r="C21" s="15" t="str">
        <f>tabela_informacyjna_dla_JST!$C$8</f>
        <v>włoszczowski</v>
      </c>
      <c r="D21" s="51" t="str">
        <f>IFERROR(CONCATENATE(tabela_informacyjna_dla_JST!$D$7,"_ZSO"),"brak nazwy gminy")</f>
        <v>PL2602_ZSO</v>
      </c>
      <c r="E21" s="22" t="str">
        <f>IFERROR(VLOOKUP($D21,kat_zadania[],katalogi!$N$1-katalogi!$L$1,FALSE),"brak nazwy gminy")</f>
        <v>Ograniczenie emisji z instalacji o małej mocy do 1 MW, w których następuje spalanie paliw stałych</v>
      </c>
      <c r="F21" s="31"/>
      <c r="G21" s="31"/>
      <c r="H21" s="31"/>
      <c r="I21" s="112"/>
      <c r="J21" s="112"/>
      <c r="K21" s="74" t="str">
        <f>IFERROR(VLOOKUP($R21,kat_wsk_efektu[],wskaźniki_efektu!C$1,FALSE)*$I21/1000,"")</f>
        <v/>
      </c>
      <c r="L21" s="74" t="str">
        <f>IFERROR(VLOOKUP($R21,kat_wsk_efektu[],wskaźniki_efektu!D$1,FALSE)*$I21/1000,"")</f>
        <v/>
      </c>
      <c r="M21" s="74" t="str">
        <f>IFERROR(VLOOKUP($R21,kat_wsk_efektu[],wskaźniki_efektu!E$1,FALSE)*$I21/1000,"")</f>
        <v/>
      </c>
      <c r="N21" s="113"/>
      <c r="O21" s="113"/>
      <c r="P21" s="114"/>
      <c r="R21" s="77" t="str">
        <f>IFERROR(VLOOKUP($H21,wskaźniki_efektu!$B$21:$C$34,wskaźniki_efektu!$C$1-wskaźniki_efektu!$A$1,FALSE),"")</f>
        <v/>
      </c>
      <c r="S21" s="91" t="str">
        <f>VLOOKUP($B21,gminy_26[[nazwa gminy]:[kod gminy2]],2,FALSE)</f>
        <v>2613042</v>
      </c>
      <c r="T21" s="91" t="str">
        <f>VLOOKUP($S21,gminy_26[],katalog_gmin_PL26!$F$1,FALSE)</f>
        <v>PL2602</v>
      </c>
    </row>
    <row r="22" spans="1:20" ht="22.5" customHeight="1" x14ac:dyDescent="0.2">
      <c r="A22" s="3">
        <v>12</v>
      </c>
      <c r="B22" s="15" t="str">
        <f>tabela_informacyjna_dla_JST!$C$9</f>
        <v>Radków</v>
      </c>
      <c r="C22" s="15" t="str">
        <f>tabela_informacyjna_dla_JST!$C$8</f>
        <v>włoszczowski</v>
      </c>
      <c r="D22" s="51" t="str">
        <f>IFERROR(CONCATENATE(tabela_informacyjna_dla_JST!$D$7,"_ZSO"),"brak nazwy gminy")</f>
        <v>PL2602_ZSO</v>
      </c>
      <c r="E22" s="22" t="str">
        <f>IFERROR(VLOOKUP($D22,kat_zadania[],katalogi!$N$1-katalogi!$L$1,FALSE),"brak nazwy gminy")</f>
        <v>Ograniczenie emisji z instalacji o małej mocy do 1 MW, w których następuje spalanie paliw stałych</v>
      </c>
      <c r="F22" s="31"/>
      <c r="G22" s="31"/>
      <c r="H22" s="31"/>
      <c r="I22" s="112"/>
      <c r="J22" s="112"/>
      <c r="K22" s="74" t="str">
        <f>IFERROR(VLOOKUP($R22,kat_wsk_efektu[],wskaźniki_efektu!C$1,FALSE)*$I22/1000,"")</f>
        <v/>
      </c>
      <c r="L22" s="74" t="str">
        <f>IFERROR(VLOOKUP($R22,kat_wsk_efektu[],wskaźniki_efektu!D$1,FALSE)*$I22/1000,"")</f>
        <v/>
      </c>
      <c r="M22" s="74" t="str">
        <f>IFERROR(VLOOKUP($R22,kat_wsk_efektu[],wskaźniki_efektu!E$1,FALSE)*$I22/1000,"")</f>
        <v/>
      </c>
      <c r="N22" s="113"/>
      <c r="O22" s="113"/>
      <c r="P22" s="114"/>
      <c r="R22" s="77" t="str">
        <f>IFERROR(VLOOKUP($H22,wskaźniki_efektu!$B$21:$C$34,wskaźniki_efektu!$C$1-wskaźniki_efektu!$A$1,FALSE),"")</f>
        <v/>
      </c>
      <c r="S22" s="91" t="str">
        <f>VLOOKUP($B22,gminy_26[[nazwa gminy]:[kod gminy2]],2,FALSE)</f>
        <v>2613042</v>
      </c>
      <c r="T22" s="91" t="str">
        <f>VLOOKUP($S22,gminy_26[],katalog_gmin_PL26!$F$1,FALSE)</f>
        <v>PL2602</v>
      </c>
    </row>
    <row r="23" spans="1:20" ht="22.5" customHeight="1" x14ac:dyDescent="0.2">
      <c r="A23" s="3">
        <v>13</v>
      </c>
      <c r="B23" s="15" t="str">
        <f>tabela_informacyjna_dla_JST!$C$9</f>
        <v>Radków</v>
      </c>
      <c r="C23" s="15" t="str">
        <f>tabela_informacyjna_dla_JST!$C$8</f>
        <v>włoszczowski</v>
      </c>
      <c r="D23" s="51" t="str">
        <f>IFERROR(CONCATENATE(tabela_informacyjna_dla_JST!$D$7,"_ZSO"),"brak nazwy gminy")</f>
        <v>PL2602_ZSO</v>
      </c>
      <c r="E23" s="22" t="str">
        <f>IFERROR(VLOOKUP($D23,kat_zadania[],katalogi!$N$1-katalogi!$L$1,FALSE),"brak nazwy gminy")</f>
        <v>Ograniczenie emisji z instalacji o małej mocy do 1 MW, w których następuje spalanie paliw stałych</v>
      </c>
      <c r="F23" s="31"/>
      <c r="G23" s="31"/>
      <c r="H23" s="31"/>
      <c r="I23" s="112"/>
      <c r="J23" s="112"/>
      <c r="K23" s="74" t="str">
        <f>IFERROR(VLOOKUP($R23,kat_wsk_efektu[],wskaźniki_efektu!C$1,FALSE)*$I23/1000,"")</f>
        <v/>
      </c>
      <c r="L23" s="74" t="str">
        <f>IFERROR(VLOOKUP($R23,kat_wsk_efektu[],wskaźniki_efektu!D$1,FALSE)*$I23/1000,"")</f>
        <v/>
      </c>
      <c r="M23" s="74" t="str">
        <f>IFERROR(VLOOKUP($R23,kat_wsk_efektu[],wskaźniki_efektu!E$1,FALSE)*$I23/1000,"")</f>
        <v/>
      </c>
      <c r="N23" s="113"/>
      <c r="O23" s="113"/>
      <c r="P23" s="114"/>
      <c r="R23" s="77" t="str">
        <f>IFERROR(VLOOKUP($H23,wskaźniki_efektu!$B$21:$C$34,wskaźniki_efektu!$C$1-wskaźniki_efektu!$A$1,FALSE),"")</f>
        <v/>
      </c>
      <c r="S23" s="91" t="str">
        <f>VLOOKUP($B23,gminy_26[[nazwa gminy]:[kod gminy2]],2,FALSE)</f>
        <v>2613042</v>
      </c>
      <c r="T23" s="91" t="str">
        <f>VLOOKUP($S23,gminy_26[],katalog_gmin_PL26!$F$1,FALSE)</f>
        <v>PL2602</v>
      </c>
    </row>
    <row r="24" spans="1:20" ht="22.5" customHeight="1" x14ac:dyDescent="0.2">
      <c r="A24" s="3">
        <v>14</v>
      </c>
      <c r="B24" s="15" t="str">
        <f>tabela_informacyjna_dla_JST!$C$9</f>
        <v>Radków</v>
      </c>
      <c r="C24" s="15" t="str">
        <f>tabela_informacyjna_dla_JST!$C$8</f>
        <v>włoszczowski</v>
      </c>
      <c r="D24" s="51" t="str">
        <f>IFERROR(CONCATENATE(tabela_informacyjna_dla_JST!$D$7,"_ZSO"),"brak nazwy gminy")</f>
        <v>PL2602_ZSO</v>
      </c>
      <c r="E24" s="22" t="str">
        <f>IFERROR(VLOOKUP($D24,kat_zadania[],katalogi!$N$1-katalogi!$L$1,FALSE),"brak nazwy gminy")</f>
        <v>Ograniczenie emisji z instalacji o małej mocy do 1 MW, w których następuje spalanie paliw stałych</v>
      </c>
      <c r="F24" s="31"/>
      <c r="G24" s="31"/>
      <c r="H24" s="31"/>
      <c r="I24" s="112"/>
      <c r="J24" s="112"/>
      <c r="K24" s="74" t="str">
        <f>IFERROR(VLOOKUP($R24,kat_wsk_efektu[],wskaźniki_efektu!C$1,FALSE)*$I24/1000,"")</f>
        <v/>
      </c>
      <c r="L24" s="74" t="str">
        <f>IFERROR(VLOOKUP($R24,kat_wsk_efektu[],wskaźniki_efektu!D$1,FALSE)*$I24/1000,"")</f>
        <v/>
      </c>
      <c r="M24" s="74" t="str">
        <f>IFERROR(VLOOKUP($R24,kat_wsk_efektu[],wskaźniki_efektu!E$1,FALSE)*$I24/1000,"")</f>
        <v/>
      </c>
      <c r="N24" s="113"/>
      <c r="O24" s="113"/>
      <c r="P24" s="114"/>
      <c r="R24" s="77" t="str">
        <f>IFERROR(VLOOKUP($H24,wskaźniki_efektu!$B$21:$C$34,wskaźniki_efektu!$C$1-wskaźniki_efektu!$A$1,FALSE),"")</f>
        <v/>
      </c>
      <c r="S24" s="91" t="str">
        <f>VLOOKUP($B24,gminy_26[[nazwa gminy]:[kod gminy2]],2,FALSE)</f>
        <v>2613042</v>
      </c>
      <c r="T24" s="91" t="str">
        <f>VLOOKUP($S24,gminy_26[],katalog_gmin_PL26!$F$1,FALSE)</f>
        <v>PL2602</v>
      </c>
    </row>
    <row r="25" spans="1:20" ht="22.5" customHeight="1" x14ac:dyDescent="0.2">
      <c r="A25" s="3">
        <v>15</v>
      </c>
      <c r="B25" s="15" t="str">
        <f>tabela_informacyjna_dla_JST!$C$9</f>
        <v>Radków</v>
      </c>
      <c r="C25" s="15" t="str">
        <f>tabela_informacyjna_dla_JST!$C$8</f>
        <v>włoszczowski</v>
      </c>
      <c r="D25" s="51" t="str">
        <f>IFERROR(CONCATENATE(tabela_informacyjna_dla_JST!$D$7,"_ZSO"),"brak nazwy gminy")</f>
        <v>PL2602_ZSO</v>
      </c>
      <c r="E25" s="22" t="str">
        <f>IFERROR(VLOOKUP($D25,kat_zadania[],katalogi!$N$1-katalogi!$L$1,FALSE),"brak nazwy gminy")</f>
        <v>Ograniczenie emisji z instalacji o małej mocy do 1 MW, w których następuje spalanie paliw stałych</v>
      </c>
      <c r="F25" s="31"/>
      <c r="G25" s="31"/>
      <c r="H25" s="31"/>
      <c r="I25" s="112"/>
      <c r="J25" s="112"/>
      <c r="K25" s="74" t="str">
        <f>IFERROR(VLOOKUP($R25,kat_wsk_efektu[],wskaźniki_efektu!C$1,FALSE)*$I25/1000,"")</f>
        <v/>
      </c>
      <c r="L25" s="74" t="str">
        <f>IFERROR(VLOOKUP($R25,kat_wsk_efektu[],wskaźniki_efektu!D$1,FALSE)*$I25/1000,"")</f>
        <v/>
      </c>
      <c r="M25" s="74" t="str">
        <f>IFERROR(VLOOKUP($R25,kat_wsk_efektu[],wskaźniki_efektu!E$1,FALSE)*$I25/1000,"")</f>
        <v/>
      </c>
      <c r="N25" s="113"/>
      <c r="O25" s="113"/>
      <c r="P25" s="114"/>
      <c r="R25" s="77" t="str">
        <f>IFERROR(VLOOKUP($H25,wskaźniki_efektu!$B$21:$C$34,wskaźniki_efektu!$C$1-wskaźniki_efektu!$A$1,FALSE),"")</f>
        <v/>
      </c>
      <c r="S25" s="91" t="str">
        <f>VLOOKUP($B25,gminy_26[[nazwa gminy]:[kod gminy2]],2,FALSE)</f>
        <v>2613042</v>
      </c>
      <c r="T25" s="91" t="str">
        <f>VLOOKUP($S25,gminy_26[],katalog_gmin_PL26!$F$1,FALSE)</f>
        <v>PL2602</v>
      </c>
    </row>
    <row r="26" spans="1:20" ht="22.5" customHeight="1" x14ac:dyDescent="0.2">
      <c r="A26" s="3">
        <v>16</v>
      </c>
      <c r="B26" s="15" t="str">
        <f>tabela_informacyjna_dla_JST!$C$9</f>
        <v>Radków</v>
      </c>
      <c r="C26" s="15" t="str">
        <f>tabela_informacyjna_dla_JST!$C$8</f>
        <v>włoszczowski</v>
      </c>
      <c r="D26" s="51" t="str">
        <f>IFERROR(CONCATENATE(tabela_informacyjna_dla_JST!$D$7,"_ZSO"),"brak nazwy gminy")</f>
        <v>PL2602_ZSO</v>
      </c>
      <c r="E26" s="22" t="str">
        <f>IFERROR(VLOOKUP($D26,kat_zadania[],katalogi!$N$1-katalogi!$L$1,FALSE),"brak nazwy gminy")</f>
        <v>Ograniczenie emisji z instalacji o małej mocy do 1 MW, w których następuje spalanie paliw stałych</v>
      </c>
      <c r="F26" s="31"/>
      <c r="G26" s="31"/>
      <c r="H26" s="31"/>
      <c r="I26" s="112"/>
      <c r="J26" s="112"/>
      <c r="K26" s="74" t="str">
        <f>IFERROR(VLOOKUP($R26,kat_wsk_efektu[],wskaźniki_efektu!C$1,FALSE)*$I26/1000,"")</f>
        <v/>
      </c>
      <c r="L26" s="74" t="str">
        <f>IFERROR(VLOOKUP($R26,kat_wsk_efektu[],wskaźniki_efektu!D$1,FALSE)*$I26/1000,"")</f>
        <v/>
      </c>
      <c r="M26" s="74" t="str">
        <f>IFERROR(VLOOKUP($R26,kat_wsk_efektu[],wskaźniki_efektu!E$1,FALSE)*$I26/1000,"")</f>
        <v/>
      </c>
      <c r="N26" s="113"/>
      <c r="O26" s="113"/>
      <c r="P26" s="114"/>
      <c r="R26" s="77" t="str">
        <f>IFERROR(VLOOKUP($H26,wskaźniki_efektu!$B$21:$C$34,wskaźniki_efektu!$C$1-wskaźniki_efektu!$A$1,FALSE),"")</f>
        <v/>
      </c>
      <c r="S26" s="91" t="str">
        <f>VLOOKUP($B26,gminy_26[[nazwa gminy]:[kod gminy2]],2,FALSE)</f>
        <v>2613042</v>
      </c>
      <c r="T26" s="91" t="str">
        <f>VLOOKUP($S26,gminy_26[],katalog_gmin_PL26!$F$1,FALSE)</f>
        <v>PL2602</v>
      </c>
    </row>
    <row r="27" spans="1:20" ht="22.5" customHeight="1" x14ac:dyDescent="0.2">
      <c r="A27" s="3">
        <v>17</v>
      </c>
      <c r="B27" s="15" t="str">
        <f>tabela_informacyjna_dla_JST!$C$9</f>
        <v>Radków</v>
      </c>
      <c r="C27" s="15" t="str">
        <f>tabela_informacyjna_dla_JST!$C$8</f>
        <v>włoszczowski</v>
      </c>
      <c r="D27" s="51" t="str">
        <f>IFERROR(CONCATENATE(tabela_informacyjna_dla_JST!$D$7,"_ZSO"),"brak nazwy gminy")</f>
        <v>PL2602_ZSO</v>
      </c>
      <c r="E27" s="22" t="str">
        <f>IFERROR(VLOOKUP($D27,kat_zadania[],katalogi!$N$1-katalogi!$L$1,FALSE),"brak nazwy gminy")</f>
        <v>Ograniczenie emisji z instalacji o małej mocy do 1 MW, w których następuje spalanie paliw stałych</v>
      </c>
      <c r="F27" s="31"/>
      <c r="G27" s="31"/>
      <c r="H27" s="31"/>
      <c r="I27" s="112"/>
      <c r="J27" s="112"/>
      <c r="K27" s="74" t="str">
        <f>IFERROR(VLOOKUP($R27,kat_wsk_efektu[],wskaźniki_efektu!C$1,FALSE)*$I27/1000,"")</f>
        <v/>
      </c>
      <c r="L27" s="74" t="str">
        <f>IFERROR(VLOOKUP($R27,kat_wsk_efektu[],wskaźniki_efektu!D$1,FALSE)*$I27/1000,"")</f>
        <v/>
      </c>
      <c r="M27" s="74" t="str">
        <f>IFERROR(VLOOKUP($R27,kat_wsk_efektu[],wskaźniki_efektu!E$1,FALSE)*$I27/1000,"")</f>
        <v/>
      </c>
      <c r="N27" s="113"/>
      <c r="O27" s="113"/>
      <c r="P27" s="114"/>
      <c r="R27" s="77" t="str">
        <f>IFERROR(VLOOKUP($H27,wskaźniki_efektu!$B$21:$C$34,wskaźniki_efektu!$C$1-wskaźniki_efektu!$A$1,FALSE),"")</f>
        <v/>
      </c>
      <c r="S27" s="91" t="str">
        <f>VLOOKUP($B27,gminy_26[[nazwa gminy]:[kod gminy2]],2,FALSE)</f>
        <v>2613042</v>
      </c>
      <c r="T27" s="91" t="str">
        <f>VLOOKUP($S27,gminy_26[],katalog_gmin_PL26!$F$1,FALSE)</f>
        <v>PL2602</v>
      </c>
    </row>
    <row r="28" spans="1:20" ht="22.5" customHeight="1" x14ac:dyDescent="0.2">
      <c r="A28" s="3">
        <v>18</v>
      </c>
      <c r="B28" s="15" t="str">
        <f>tabela_informacyjna_dla_JST!$C$9</f>
        <v>Radków</v>
      </c>
      <c r="C28" s="15" t="str">
        <f>tabela_informacyjna_dla_JST!$C$8</f>
        <v>włoszczowski</v>
      </c>
      <c r="D28" s="51" t="str">
        <f>IFERROR(CONCATENATE(tabela_informacyjna_dla_JST!$D$7,"_ZSO"),"brak nazwy gminy")</f>
        <v>PL2602_ZSO</v>
      </c>
      <c r="E28" s="22" t="str">
        <f>IFERROR(VLOOKUP($D28,kat_zadania[],katalogi!$N$1-katalogi!$L$1,FALSE),"brak nazwy gminy")</f>
        <v>Ograniczenie emisji z instalacji o małej mocy do 1 MW, w których następuje spalanie paliw stałych</v>
      </c>
      <c r="F28" s="31"/>
      <c r="G28" s="31"/>
      <c r="H28" s="31"/>
      <c r="I28" s="112"/>
      <c r="J28" s="112"/>
      <c r="K28" s="74" t="str">
        <f>IFERROR(VLOOKUP($R28,kat_wsk_efektu[],wskaźniki_efektu!C$1,FALSE)*$I28/1000,"")</f>
        <v/>
      </c>
      <c r="L28" s="74" t="str">
        <f>IFERROR(VLOOKUP($R28,kat_wsk_efektu[],wskaźniki_efektu!D$1,FALSE)*$I28/1000,"")</f>
        <v/>
      </c>
      <c r="M28" s="74" t="str">
        <f>IFERROR(VLOOKUP($R28,kat_wsk_efektu[],wskaźniki_efektu!E$1,FALSE)*$I28/1000,"")</f>
        <v/>
      </c>
      <c r="N28" s="113"/>
      <c r="O28" s="113"/>
      <c r="P28" s="114"/>
      <c r="R28" s="77" t="str">
        <f>IFERROR(VLOOKUP($H28,wskaźniki_efektu!$B$21:$C$34,wskaźniki_efektu!$C$1-wskaźniki_efektu!$A$1,FALSE),"")</f>
        <v/>
      </c>
      <c r="S28" s="91" t="str">
        <f>VLOOKUP($B28,gminy_26[[nazwa gminy]:[kod gminy2]],2,FALSE)</f>
        <v>2613042</v>
      </c>
      <c r="T28" s="91" t="str">
        <f>VLOOKUP($S28,gminy_26[],katalog_gmin_PL26!$F$1,FALSE)</f>
        <v>PL2602</v>
      </c>
    </row>
    <row r="29" spans="1:20" ht="22.5" customHeight="1" x14ac:dyDescent="0.2">
      <c r="A29" s="3">
        <v>19</v>
      </c>
      <c r="B29" s="15" t="str">
        <f>tabela_informacyjna_dla_JST!$C$9</f>
        <v>Radków</v>
      </c>
      <c r="C29" s="15" t="str">
        <f>tabela_informacyjna_dla_JST!$C$8</f>
        <v>włoszczowski</v>
      </c>
      <c r="D29" s="51" t="str">
        <f>IFERROR(CONCATENATE(tabela_informacyjna_dla_JST!$D$7,"_ZSO"),"brak nazwy gminy")</f>
        <v>PL2602_ZSO</v>
      </c>
      <c r="E29" s="22" t="str">
        <f>IFERROR(VLOOKUP($D29,kat_zadania[],katalogi!$N$1-katalogi!$L$1,FALSE),"brak nazwy gminy")</f>
        <v>Ograniczenie emisji z instalacji o małej mocy do 1 MW, w których następuje spalanie paliw stałych</v>
      </c>
      <c r="F29" s="31"/>
      <c r="G29" s="31"/>
      <c r="H29" s="31"/>
      <c r="I29" s="112"/>
      <c r="J29" s="112"/>
      <c r="K29" s="74" t="str">
        <f>IFERROR(VLOOKUP($R29,kat_wsk_efektu[],wskaźniki_efektu!C$1,FALSE)*$I29/1000,"")</f>
        <v/>
      </c>
      <c r="L29" s="74" t="str">
        <f>IFERROR(VLOOKUP($R29,kat_wsk_efektu[],wskaźniki_efektu!D$1,FALSE)*$I29/1000,"")</f>
        <v/>
      </c>
      <c r="M29" s="74" t="str">
        <f>IFERROR(VLOOKUP($R29,kat_wsk_efektu[],wskaźniki_efektu!E$1,FALSE)*$I29/1000,"")</f>
        <v/>
      </c>
      <c r="N29" s="113"/>
      <c r="O29" s="113"/>
      <c r="P29" s="114"/>
      <c r="R29" s="77" t="str">
        <f>IFERROR(VLOOKUP($H29,wskaźniki_efektu!$B$21:$C$34,wskaźniki_efektu!$C$1-wskaźniki_efektu!$A$1,FALSE),"")</f>
        <v/>
      </c>
      <c r="S29" s="91" t="str">
        <f>VLOOKUP($B29,gminy_26[[nazwa gminy]:[kod gminy2]],2,FALSE)</f>
        <v>2613042</v>
      </c>
      <c r="T29" s="91" t="str">
        <f>VLOOKUP($S29,gminy_26[],katalog_gmin_PL26!$F$1,FALSE)</f>
        <v>PL2602</v>
      </c>
    </row>
    <row r="30" spans="1:20" ht="22.5" customHeight="1" x14ac:dyDescent="0.2">
      <c r="A30" s="3">
        <v>20</v>
      </c>
      <c r="B30" s="15" t="str">
        <f>tabela_informacyjna_dla_JST!$C$9</f>
        <v>Radków</v>
      </c>
      <c r="C30" s="15" t="str">
        <f>tabela_informacyjna_dla_JST!$C$8</f>
        <v>włoszczowski</v>
      </c>
      <c r="D30" s="51" t="str">
        <f>IFERROR(CONCATENATE(tabela_informacyjna_dla_JST!$D$7,"_ZSO"),"brak nazwy gminy")</f>
        <v>PL2602_ZSO</v>
      </c>
      <c r="E30" s="22" t="str">
        <f>IFERROR(VLOOKUP($D30,kat_zadania[],katalogi!$N$1-katalogi!$L$1,FALSE),"brak nazwy gminy")</f>
        <v>Ograniczenie emisji z instalacji o małej mocy do 1 MW, w których następuje spalanie paliw stałych</v>
      </c>
      <c r="F30" s="31"/>
      <c r="G30" s="31"/>
      <c r="H30" s="31"/>
      <c r="I30" s="112"/>
      <c r="J30" s="112"/>
      <c r="K30" s="74" t="str">
        <f>IFERROR(VLOOKUP($R30,kat_wsk_efektu[],wskaźniki_efektu!C$1,FALSE)*$I30/1000,"")</f>
        <v/>
      </c>
      <c r="L30" s="74" t="str">
        <f>IFERROR(VLOOKUP($R30,kat_wsk_efektu[],wskaźniki_efektu!D$1,FALSE)*$I30/1000,"")</f>
        <v/>
      </c>
      <c r="M30" s="74" t="str">
        <f>IFERROR(VLOOKUP($R30,kat_wsk_efektu[],wskaźniki_efektu!E$1,FALSE)*$I30/1000,"")</f>
        <v/>
      </c>
      <c r="N30" s="113"/>
      <c r="O30" s="113"/>
      <c r="P30" s="114"/>
      <c r="R30" s="77" t="str">
        <f>IFERROR(VLOOKUP($H30,wskaźniki_efektu!$B$21:$C$34,wskaźniki_efektu!$C$1-wskaźniki_efektu!$A$1,FALSE),"")</f>
        <v/>
      </c>
      <c r="S30" s="91" t="str">
        <f>VLOOKUP($B30,gminy_26[[nazwa gminy]:[kod gminy2]],2,FALSE)</f>
        <v>2613042</v>
      </c>
      <c r="T30" s="91" t="str">
        <f>VLOOKUP($S30,gminy_26[],katalog_gmin_PL26!$F$1,FALSE)</f>
        <v>PL2602</v>
      </c>
    </row>
    <row r="31" spans="1:20" ht="22.5" customHeight="1" x14ac:dyDescent="0.2">
      <c r="A31" s="3">
        <v>21</v>
      </c>
      <c r="B31" s="15" t="str">
        <f>tabela_informacyjna_dla_JST!$C$9</f>
        <v>Radków</v>
      </c>
      <c r="C31" s="15" t="str">
        <f>tabela_informacyjna_dla_JST!$C$8</f>
        <v>włoszczowski</v>
      </c>
      <c r="D31" s="51" t="str">
        <f>IFERROR(CONCATENATE(tabela_informacyjna_dla_JST!$D$7,"_ZSO"),"brak nazwy gminy")</f>
        <v>PL2602_ZSO</v>
      </c>
      <c r="E31" s="22" t="str">
        <f>IFERROR(VLOOKUP($D31,kat_zadania[],katalogi!$N$1-katalogi!$L$1,FALSE),"brak nazwy gminy")</f>
        <v>Ograniczenie emisji z instalacji o małej mocy do 1 MW, w których następuje spalanie paliw stałych</v>
      </c>
      <c r="F31" s="31"/>
      <c r="G31" s="31"/>
      <c r="H31" s="31"/>
      <c r="I31" s="112"/>
      <c r="J31" s="112"/>
      <c r="K31" s="74" t="str">
        <f>IFERROR(VLOOKUP($R31,kat_wsk_efektu[],wskaźniki_efektu!C$1,FALSE)*$I31/1000,"")</f>
        <v/>
      </c>
      <c r="L31" s="74" t="str">
        <f>IFERROR(VLOOKUP($R31,kat_wsk_efektu[],wskaźniki_efektu!D$1,FALSE)*$I31/1000,"")</f>
        <v/>
      </c>
      <c r="M31" s="74" t="str">
        <f>IFERROR(VLOOKUP($R31,kat_wsk_efektu[],wskaźniki_efektu!E$1,FALSE)*$I31/1000,"")</f>
        <v/>
      </c>
      <c r="N31" s="113"/>
      <c r="O31" s="113"/>
      <c r="P31" s="114"/>
      <c r="R31" s="77" t="str">
        <f>IFERROR(VLOOKUP($H31,wskaźniki_efektu!$B$21:$C$34,wskaźniki_efektu!$C$1-wskaźniki_efektu!$A$1,FALSE),"")</f>
        <v/>
      </c>
      <c r="S31" s="91" t="str">
        <f>VLOOKUP($B31,gminy_26[[nazwa gminy]:[kod gminy2]],2,FALSE)</f>
        <v>2613042</v>
      </c>
      <c r="T31" s="91" t="str">
        <f>VLOOKUP($S31,gminy_26[],katalog_gmin_PL26!$F$1,FALSE)</f>
        <v>PL2602</v>
      </c>
    </row>
  </sheetData>
  <sheetProtection formatCells="0" formatRows="0" sort="0" autoFilter="0" pivotTables="0"/>
  <mergeCells count="14">
    <mergeCell ref="A7:A8"/>
    <mergeCell ref="B7:B8"/>
    <mergeCell ref="D7:D8"/>
    <mergeCell ref="E7:E8"/>
    <mergeCell ref="F7:F8"/>
    <mergeCell ref="R7:T7"/>
    <mergeCell ref="N7:N8"/>
    <mergeCell ref="O7:O8"/>
    <mergeCell ref="C7:C8"/>
    <mergeCell ref="I4:O4"/>
    <mergeCell ref="P7:P8"/>
    <mergeCell ref="G7:G8"/>
    <mergeCell ref="H7:J7"/>
    <mergeCell ref="K7:M7"/>
  </mergeCells>
  <phoneticPr fontId="22" type="noConversion"/>
  <conditionalFormatting sqref="B11:C31">
    <cfRule type="cellIs" dxfId="4" priority="2" operator="equal">
      <formula>0</formula>
    </cfRule>
  </conditionalFormatting>
  <conditionalFormatting sqref="K11:M31">
    <cfRule type="expression" dxfId="3" priority="1">
      <formula>$I11=0</formula>
    </cfRule>
  </conditionalFormatting>
  <dataValidations count="5">
    <dataValidation type="whole" operator="greaterThanOrEqual" allowBlank="1" showInputMessage="1" showErrorMessage="1" error="Proszę podać wartość liczbową!" sqref="I11:J31">
      <formula1>0</formula1>
    </dataValidation>
    <dataValidation type="decimal" operator="greaterThanOrEqual" allowBlank="1" showInputMessage="1" showErrorMessage="1" error="Proszę podać wartość liczbową!" sqref="N11:O31">
      <formula1>0</formula1>
    </dataValidation>
    <dataValidation type="list" operator="greaterThanOrEqual" allowBlank="1" showInputMessage="1" showErrorMessage="1" error="Proszę podać wartość liczbową!" sqref="H11:H31">
      <formula1>monit_ZSO</formula1>
    </dataValidation>
    <dataValidation operator="greaterThanOrEqual" allowBlank="1" showDropDown="1" showInputMessage="1" showErrorMessage="1" error="Proszę podać wartość liczbową!" sqref="R11:R31"/>
    <dataValidation operator="greaterThanOrEqual" allowBlank="1" showInputMessage="1" showErrorMessage="1" error="Proszę podać wartość liczbową!" sqref="G11:G31 K11:M31"/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00B050"/>
  </sheetPr>
  <dimension ref="A1:AE18"/>
  <sheetViews>
    <sheetView zoomScale="90" zoomScaleNormal="90" workbookViewId="0">
      <pane xSplit="3" ySplit="8" topLeftCell="D9" activePane="bottomRight" state="frozen"/>
      <selection pane="topRight" activeCell="D1" sqref="D1"/>
      <selection pane="bottomLeft" activeCell="A8" sqref="A8"/>
      <selection pane="bottomRight" activeCell="M12" sqref="M12"/>
    </sheetView>
  </sheetViews>
  <sheetFormatPr defaultColWidth="9.140625" defaultRowHeight="12" x14ac:dyDescent="0.2"/>
  <cols>
    <col min="1" max="1" width="4.42578125" style="1" customWidth="1"/>
    <col min="2" max="2" width="12.5703125" style="1" customWidth="1"/>
    <col min="3" max="3" width="13.140625" style="1" customWidth="1"/>
    <col min="4" max="4" width="37.7109375" style="1" customWidth="1"/>
    <col min="5" max="5" width="29.85546875" style="1" customWidth="1"/>
    <col min="6" max="10" width="15.140625" style="1" customWidth="1"/>
    <col min="11" max="11" width="12.85546875" style="1" customWidth="1"/>
    <col min="12" max="12" width="23" style="1" customWidth="1"/>
    <col min="13" max="13" width="41.28515625" style="1" customWidth="1"/>
    <col min="14" max="30" width="9.140625" style="1"/>
    <col min="31" max="31" width="7" style="1" hidden="1" customWidth="1"/>
    <col min="32" max="16384" width="9.140625" style="1"/>
  </cols>
  <sheetData>
    <row r="1" spans="1:31" ht="15.75" thickBot="1" x14ac:dyDescent="0.25">
      <c r="A1" s="111" t="s">
        <v>447</v>
      </c>
    </row>
    <row r="2" spans="1:31" ht="16.5" thickBot="1" x14ac:dyDescent="0.25">
      <c r="D2" s="52" t="s">
        <v>322</v>
      </c>
      <c r="E2" s="53">
        <f>IFERROR(VLOOKUP(tabela_informacyjna_dla_JST!$D$9,gminy_26[],katalog_gmin_PL26!$P$1,FALSE),"brak nazwy gminy")</f>
        <v>1</v>
      </c>
      <c r="F2" s="54"/>
      <c r="G2" s="54"/>
      <c r="H2" s="54"/>
      <c r="I2" s="54"/>
      <c r="J2" s="54"/>
      <c r="K2" s="54"/>
    </row>
    <row r="3" spans="1:31" ht="15" x14ac:dyDescent="0.2">
      <c r="F3" s="209" t="s">
        <v>332</v>
      </c>
      <c r="G3" s="209"/>
      <c r="H3" s="209"/>
      <c r="I3" s="209"/>
      <c r="J3" s="209"/>
      <c r="K3" s="209"/>
      <c r="L3" s="209"/>
    </row>
    <row r="4" spans="1:31" ht="15" x14ac:dyDescent="0.2">
      <c r="A4" s="12" t="s">
        <v>321</v>
      </c>
      <c r="D4" s="13"/>
      <c r="E4" s="13"/>
      <c r="F4" s="55">
        <f t="shared" ref="F4:J4" si="0">SUM(F9:F18)</f>
        <v>0</v>
      </c>
      <c r="G4" s="55">
        <f t="shared" si="0"/>
        <v>2</v>
      </c>
      <c r="H4" s="55">
        <f t="shared" si="0"/>
        <v>0</v>
      </c>
      <c r="I4" s="55">
        <f t="shared" si="0"/>
        <v>2</v>
      </c>
      <c r="J4" s="55">
        <f t="shared" si="0"/>
        <v>200</v>
      </c>
      <c r="K4" s="56">
        <f>SUM(K9:K18)</f>
        <v>0</v>
      </c>
      <c r="L4" s="56">
        <f>SUM(L9:L18)</f>
        <v>0</v>
      </c>
      <c r="M4" s="13"/>
    </row>
    <row r="5" spans="1:31" x14ac:dyDescent="0.2">
      <c r="A5" s="197" t="s">
        <v>7</v>
      </c>
      <c r="B5" s="197" t="s">
        <v>26</v>
      </c>
      <c r="C5" s="197" t="s">
        <v>22</v>
      </c>
      <c r="D5" s="197" t="s">
        <v>23</v>
      </c>
      <c r="E5" s="197" t="s">
        <v>492</v>
      </c>
      <c r="F5" s="204" t="s">
        <v>333</v>
      </c>
      <c r="G5" s="204"/>
      <c r="H5" s="204"/>
      <c r="I5" s="204"/>
      <c r="J5" s="204"/>
      <c r="K5" s="197" t="s">
        <v>49</v>
      </c>
      <c r="L5" s="199" t="s">
        <v>485</v>
      </c>
      <c r="M5" s="197" t="s">
        <v>486</v>
      </c>
    </row>
    <row r="6" spans="1:31" ht="61.5" customHeight="1" x14ac:dyDescent="0.2">
      <c r="A6" s="198"/>
      <c r="B6" s="198"/>
      <c r="C6" s="198"/>
      <c r="D6" s="198"/>
      <c r="E6" s="198"/>
      <c r="F6" s="33" t="s">
        <v>324</v>
      </c>
      <c r="G6" s="33" t="s">
        <v>323</v>
      </c>
      <c r="H6" s="33" t="s">
        <v>325</v>
      </c>
      <c r="I6" s="33" t="s">
        <v>326</v>
      </c>
      <c r="J6" s="33" t="s">
        <v>327</v>
      </c>
      <c r="K6" s="208"/>
      <c r="L6" s="210"/>
      <c r="M6" s="208"/>
    </row>
    <row r="7" spans="1:31" x14ac:dyDescent="0.2">
      <c r="A7" s="16">
        <v>1</v>
      </c>
      <c r="B7" s="16">
        <f>A7+1</f>
        <v>2</v>
      </c>
      <c r="C7" s="16">
        <f t="shared" ref="C7:M7" si="1">B7+1</f>
        <v>3</v>
      </c>
      <c r="D7" s="16">
        <f t="shared" si="1"/>
        <v>4</v>
      </c>
      <c r="E7" s="16">
        <f t="shared" si="1"/>
        <v>5</v>
      </c>
      <c r="F7" s="16">
        <f t="shared" ref="F7" si="2">E7+1</f>
        <v>6</v>
      </c>
      <c r="G7" s="16">
        <f t="shared" ref="G7" si="3">F7+1</f>
        <v>7</v>
      </c>
      <c r="H7" s="16">
        <f t="shared" ref="H7" si="4">G7+1</f>
        <v>8</v>
      </c>
      <c r="I7" s="16">
        <f t="shared" ref="I7" si="5">H7+1</f>
        <v>9</v>
      </c>
      <c r="J7" s="16">
        <f t="shared" ref="J7" si="6">I7+1</f>
        <v>10</v>
      </c>
      <c r="K7" s="16">
        <f t="shared" si="1"/>
        <v>11</v>
      </c>
      <c r="L7" s="16">
        <f t="shared" si="1"/>
        <v>12</v>
      </c>
      <c r="M7" s="16">
        <f t="shared" si="1"/>
        <v>13</v>
      </c>
    </row>
    <row r="8" spans="1:31" ht="72" x14ac:dyDescent="0.2">
      <c r="A8" s="124"/>
      <c r="B8" s="88" t="s">
        <v>55</v>
      </c>
      <c r="C8" s="88" t="s">
        <v>34</v>
      </c>
      <c r="D8" s="88" t="s">
        <v>34</v>
      </c>
      <c r="E8" s="125" t="s">
        <v>27</v>
      </c>
      <c r="F8" s="125" t="s">
        <v>328</v>
      </c>
      <c r="G8" s="125" t="s">
        <v>30</v>
      </c>
      <c r="H8" s="125" t="s">
        <v>329</v>
      </c>
      <c r="I8" s="125" t="s">
        <v>330</v>
      </c>
      <c r="J8" s="125" t="s">
        <v>331</v>
      </c>
      <c r="K8" s="126" t="s">
        <v>21</v>
      </c>
      <c r="L8" s="126" t="s">
        <v>29</v>
      </c>
      <c r="M8" s="126" t="s">
        <v>484</v>
      </c>
      <c r="AE8" s="32" t="s">
        <v>48</v>
      </c>
    </row>
    <row r="9" spans="1:31" ht="23.1" customHeight="1" x14ac:dyDescent="0.2">
      <c r="A9" s="3">
        <v>1</v>
      </c>
      <c r="B9" s="15" t="str">
        <f>tabela_informacyjna_dla_JST!$C$9</f>
        <v>Radków</v>
      </c>
      <c r="C9" s="51" t="str">
        <f>IFERROR(CONCATENATE(tabela_informacyjna_dla_JST!$D$7,"_EE"),"brak nazwy gminy")</f>
        <v>PL2602_EE</v>
      </c>
      <c r="D9" s="22" t="str">
        <f>IFERROR(VLOOKUP($C9,kat_zadania[],katalogi!$N$1-katalogi!$L$1,FALSE),"brak nazwy gminy")</f>
        <v>Prowadzenie działań promocyjnych i edukacyjnych (ulotki, imprezy, akcje szkolne, audycje, konferencje) oraz informacyjnych i szkoleniowych</v>
      </c>
      <c r="E9" s="115" t="s">
        <v>583</v>
      </c>
      <c r="F9" s="115">
        <v>0</v>
      </c>
      <c r="G9" s="115">
        <v>2</v>
      </c>
      <c r="H9" s="115">
        <v>0</v>
      </c>
      <c r="I9" s="115">
        <v>2</v>
      </c>
      <c r="J9" s="115">
        <v>200</v>
      </c>
      <c r="K9" s="113">
        <v>0</v>
      </c>
      <c r="L9" s="113">
        <v>0</v>
      </c>
      <c r="M9" s="114"/>
      <c r="AE9" s="1" t="b">
        <f>OR(NOT(ISBLANK(E9)),NOT(ISBLANK(J9)))</f>
        <v>1</v>
      </c>
    </row>
    <row r="10" spans="1:31" ht="23.1" customHeight="1" x14ac:dyDescent="0.2">
      <c r="A10" s="3">
        <v>2</v>
      </c>
      <c r="B10" s="15" t="str">
        <f>tabela_informacyjna_dla_JST!$C$9</f>
        <v>Radków</v>
      </c>
      <c r="C10" s="51" t="str">
        <f>IFERROR(CONCATENATE(tabela_informacyjna_dla_JST!$D$7,"_EE"),"brak nazwy gminy")</f>
        <v>PL2602_EE</v>
      </c>
      <c r="D10" s="22" t="str">
        <f>IFERROR(VLOOKUP($C10,kat_zadania[],katalogi!$N$1-katalogi!$L$1,FALSE),"brak nazwy gminy")</f>
        <v>Prowadzenie działań promocyjnych i edukacyjnych (ulotki, imprezy, akcje szkolne, audycje, konferencje) oraz informacyjnych i szkoleniowych</v>
      </c>
      <c r="E10" s="115"/>
      <c r="F10" s="115"/>
      <c r="G10" s="115"/>
      <c r="H10" s="115"/>
      <c r="I10" s="115"/>
      <c r="J10" s="115"/>
      <c r="K10" s="113"/>
      <c r="L10" s="113"/>
      <c r="M10" s="114"/>
      <c r="AE10" s="1" t="b">
        <f t="shared" ref="AE10:AE18" si="7">OR(NOT(ISBLANK(E10)),NOT(ISBLANK(J10)))</f>
        <v>0</v>
      </c>
    </row>
    <row r="11" spans="1:31" ht="23.1" customHeight="1" x14ac:dyDescent="0.2">
      <c r="A11" s="3">
        <v>3</v>
      </c>
      <c r="B11" s="15" t="str">
        <f>tabela_informacyjna_dla_JST!$C$9</f>
        <v>Radków</v>
      </c>
      <c r="C11" s="51" t="str">
        <f>IFERROR(CONCATENATE(tabela_informacyjna_dla_JST!$D$7,"_EE"),"brak nazwy gminy")</f>
        <v>PL2602_EE</v>
      </c>
      <c r="D11" s="22" t="str">
        <f>IFERROR(VLOOKUP($C11,kat_zadania[],katalogi!$N$1-katalogi!$L$1,FALSE),"brak nazwy gminy")</f>
        <v>Prowadzenie działań promocyjnych i edukacyjnych (ulotki, imprezy, akcje szkolne, audycje, konferencje) oraz informacyjnych i szkoleniowych</v>
      </c>
      <c r="E11" s="115"/>
      <c r="F11" s="115"/>
      <c r="G11" s="115"/>
      <c r="H11" s="115"/>
      <c r="I11" s="115"/>
      <c r="J11" s="115"/>
      <c r="K11" s="113"/>
      <c r="L11" s="113"/>
      <c r="M11" s="114"/>
      <c r="AE11" s="1" t="b">
        <f t="shared" si="7"/>
        <v>0</v>
      </c>
    </row>
    <row r="12" spans="1:31" ht="23.1" customHeight="1" x14ac:dyDescent="0.2">
      <c r="A12" s="3">
        <v>4</v>
      </c>
      <c r="B12" s="15" t="str">
        <f>tabela_informacyjna_dla_JST!$C$9</f>
        <v>Radków</v>
      </c>
      <c r="C12" s="51" t="str">
        <f>IFERROR(CONCATENATE(tabela_informacyjna_dla_JST!$D$7,"_EE"),"brak nazwy gminy")</f>
        <v>PL2602_EE</v>
      </c>
      <c r="D12" s="22" t="str">
        <f>IFERROR(VLOOKUP($C12,kat_zadania[],katalogi!$N$1-katalogi!$L$1,FALSE),"brak nazwy gminy")</f>
        <v>Prowadzenie działań promocyjnych i edukacyjnych (ulotki, imprezy, akcje szkolne, audycje, konferencje) oraz informacyjnych i szkoleniowych</v>
      </c>
      <c r="E12" s="115"/>
      <c r="F12" s="115"/>
      <c r="G12" s="115"/>
      <c r="H12" s="115"/>
      <c r="I12" s="115"/>
      <c r="J12" s="115"/>
      <c r="K12" s="113"/>
      <c r="L12" s="113"/>
      <c r="M12" s="114"/>
      <c r="AE12" s="1" t="b">
        <f t="shared" si="7"/>
        <v>0</v>
      </c>
    </row>
    <row r="13" spans="1:31" ht="23.1" customHeight="1" x14ac:dyDescent="0.2">
      <c r="A13" s="3">
        <v>5</v>
      </c>
      <c r="B13" s="15" t="str">
        <f>tabela_informacyjna_dla_JST!$C$9</f>
        <v>Radków</v>
      </c>
      <c r="C13" s="51" t="str">
        <f>IFERROR(CONCATENATE(tabela_informacyjna_dla_JST!$D$7,"_EE"),"brak nazwy gminy")</f>
        <v>PL2602_EE</v>
      </c>
      <c r="D13" s="22" t="str">
        <f>IFERROR(VLOOKUP($C13,kat_zadania[],katalogi!$N$1-katalogi!$L$1,FALSE),"brak nazwy gminy")</f>
        <v>Prowadzenie działań promocyjnych i edukacyjnych (ulotki, imprezy, akcje szkolne, audycje, konferencje) oraz informacyjnych i szkoleniowych</v>
      </c>
      <c r="E13" s="115"/>
      <c r="F13" s="115"/>
      <c r="G13" s="115"/>
      <c r="H13" s="115"/>
      <c r="I13" s="115"/>
      <c r="J13" s="115"/>
      <c r="K13" s="113"/>
      <c r="L13" s="113"/>
      <c r="M13" s="114"/>
      <c r="AE13" s="1" t="b">
        <f t="shared" si="7"/>
        <v>0</v>
      </c>
    </row>
    <row r="14" spans="1:31" ht="23.1" customHeight="1" x14ac:dyDescent="0.2">
      <c r="A14" s="3">
        <v>6</v>
      </c>
      <c r="B14" s="15" t="str">
        <f>tabela_informacyjna_dla_JST!$C$9</f>
        <v>Radków</v>
      </c>
      <c r="C14" s="51" t="str">
        <f>IFERROR(CONCATENATE(tabela_informacyjna_dla_JST!$D$7,"_EE"),"brak nazwy gminy")</f>
        <v>PL2602_EE</v>
      </c>
      <c r="D14" s="22" t="str">
        <f>IFERROR(VLOOKUP($C14,kat_zadania[],katalogi!$N$1-katalogi!$L$1,FALSE),"brak nazwy gminy")</f>
        <v>Prowadzenie działań promocyjnych i edukacyjnych (ulotki, imprezy, akcje szkolne, audycje, konferencje) oraz informacyjnych i szkoleniowych</v>
      </c>
      <c r="E14" s="115"/>
      <c r="F14" s="115"/>
      <c r="G14" s="115"/>
      <c r="H14" s="115"/>
      <c r="I14" s="115"/>
      <c r="J14" s="115"/>
      <c r="K14" s="113"/>
      <c r="L14" s="113"/>
      <c r="M14" s="114"/>
      <c r="AE14" s="1" t="b">
        <f t="shared" si="7"/>
        <v>0</v>
      </c>
    </row>
    <row r="15" spans="1:31" ht="23.1" customHeight="1" x14ac:dyDescent="0.2">
      <c r="A15" s="3">
        <v>7</v>
      </c>
      <c r="B15" s="15" t="str">
        <f>tabela_informacyjna_dla_JST!$C$9</f>
        <v>Radków</v>
      </c>
      <c r="C15" s="51" t="str">
        <f>IFERROR(CONCATENATE(tabela_informacyjna_dla_JST!$D$7,"_EE"),"brak nazwy gminy")</f>
        <v>PL2602_EE</v>
      </c>
      <c r="D15" s="22" t="str">
        <f>IFERROR(VLOOKUP($C15,kat_zadania[],katalogi!$N$1-katalogi!$L$1,FALSE),"brak nazwy gminy")</f>
        <v>Prowadzenie działań promocyjnych i edukacyjnych (ulotki, imprezy, akcje szkolne, audycje, konferencje) oraz informacyjnych i szkoleniowych</v>
      </c>
      <c r="E15" s="115"/>
      <c r="F15" s="115"/>
      <c r="G15" s="115"/>
      <c r="H15" s="115"/>
      <c r="I15" s="115"/>
      <c r="J15" s="115"/>
      <c r="K15" s="113"/>
      <c r="L15" s="113"/>
      <c r="M15" s="114"/>
      <c r="AE15" s="1" t="b">
        <f t="shared" si="7"/>
        <v>0</v>
      </c>
    </row>
    <row r="16" spans="1:31" ht="23.1" customHeight="1" x14ac:dyDescent="0.2">
      <c r="A16" s="3">
        <v>8</v>
      </c>
      <c r="B16" s="15" t="str">
        <f>tabela_informacyjna_dla_JST!$C$9</f>
        <v>Radków</v>
      </c>
      <c r="C16" s="51" t="str">
        <f>IFERROR(CONCATENATE(tabela_informacyjna_dla_JST!$D$7,"_EE"),"brak nazwy gminy")</f>
        <v>PL2602_EE</v>
      </c>
      <c r="D16" s="22" t="str">
        <f>IFERROR(VLOOKUP($C16,kat_zadania[],katalogi!$N$1-katalogi!$L$1,FALSE),"brak nazwy gminy")</f>
        <v>Prowadzenie działań promocyjnych i edukacyjnych (ulotki, imprezy, akcje szkolne, audycje, konferencje) oraz informacyjnych i szkoleniowych</v>
      </c>
      <c r="E16" s="115"/>
      <c r="F16" s="115"/>
      <c r="G16" s="115"/>
      <c r="H16" s="115"/>
      <c r="I16" s="115"/>
      <c r="J16" s="115"/>
      <c r="K16" s="113"/>
      <c r="L16" s="113"/>
      <c r="M16" s="114"/>
      <c r="AE16" s="1" t="b">
        <f t="shared" si="7"/>
        <v>0</v>
      </c>
    </row>
    <row r="17" spans="1:31" ht="23.1" customHeight="1" x14ac:dyDescent="0.2">
      <c r="A17" s="3">
        <v>9</v>
      </c>
      <c r="B17" s="15" t="str">
        <f>tabela_informacyjna_dla_JST!$C$9</f>
        <v>Radków</v>
      </c>
      <c r="C17" s="51" t="str">
        <f>IFERROR(CONCATENATE(tabela_informacyjna_dla_JST!$D$7,"_EE"),"brak nazwy gminy")</f>
        <v>PL2602_EE</v>
      </c>
      <c r="D17" s="22" t="str">
        <f>IFERROR(VLOOKUP($C17,kat_zadania[],katalogi!$N$1-katalogi!$L$1,FALSE),"brak nazwy gminy")</f>
        <v>Prowadzenie działań promocyjnych i edukacyjnych (ulotki, imprezy, akcje szkolne, audycje, konferencje) oraz informacyjnych i szkoleniowych</v>
      </c>
      <c r="E17" s="115"/>
      <c r="F17" s="115"/>
      <c r="G17" s="115"/>
      <c r="H17" s="115"/>
      <c r="I17" s="115"/>
      <c r="J17" s="115"/>
      <c r="K17" s="113"/>
      <c r="L17" s="113"/>
      <c r="M17" s="114"/>
      <c r="AE17" s="1" t="b">
        <f t="shared" si="7"/>
        <v>0</v>
      </c>
    </row>
    <row r="18" spans="1:31" ht="23.1" customHeight="1" x14ac:dyDescent="0.2">
      <c r="A18" s="3">
        <v>10</v>
      </c>
      <c r="B18" s="15" t="str">
        <f>tabela_informacyjna_dla_JST!$C$9</f>
        <v>Radków</v>
      </c>
      <c r="C18" s="51" t="str">
        <f>IFERROR(CONCATENATE(tabela_informacyjna_dla_JST!$D$7,"_EE"),"brak nazwy gminy")</f>
        <v>PL2602_EE</v>
      </c>
      <c r="D18" s="22" t="str">
        <f>IFERROR(VLOOKUP($C18,kat_zadania[],katalogi!$N$1-katalogi!$L$1,FALSE),"brak nazwy gminy")</f>
        <v>Prowadzenie działań promocyjnych i edukacyjnych (ulotki, imprezy, akcje szkolne, audycje, konferencje) oraz informacyjnych i szkoleniowych</v>
      </c>
      <c r="E18" s="115"/>
      <c r="F18" s="115"/>
      <c r="G18" s="115"/>
      <c r="H18" s="115"/>
      <c r="I18" s="115"/>
      <c r="J18" s="115"/>
      <c r="K18" s="113"/>
      <c r="L18" s="113"/>
      <c r="M18" s="114"/>
      <c r="AE18" s="1" t="b">
        <f t="shared" si="7"/>
        <v>0</v>
      </c>
    </row>
  </sheetData>
  <sheetProtection formatCells="0" formatRows="0" sort="0" autoFilter="0" pivotTables="0"/>
  <mergeCells count="10">
    <mergeCell ref="M5:M6"/>
    <mergeCell ref="F3:L3"/>
    <mergeCell ref="A5:A6"/>
    <mergeCell ref="B5:B6"/>
    <mergeCell ref="C5:C6"/>
    <mergeCell ref="D5:D6"/>
    <mergeCell ref="E5:E6"/>
    <mergeCell ref="F5:J5"/>
    <mergeCell ref="K5:K6"/>
    <mergeCell ref="L5:L6"/>
  </mergeCells>
  <conditionalFormatting sqref="B9:B18">
    <cfRule type="cellIs" dxfId="2" priority="1" operator="equal">
      <formula>0</formula>
    </cfRule>
  </conditionalFormatting>
  <dataValidations count="2">
    <dataValidation type="decimal" operator="greaterThanOrEqual" allowBlank="1" showInputMessage="1" showErrorMessage="1" error="Proszę podać wartość liczbową!" sqref="K9:L18">
      <formula1>0</formula1>
    </dataValidation>
    <dataValidation type="whole" operator="greaterThanOrEqual" allowBlank="1" showInputMessage="1" showErrorMessage="1" error="Proszę podać wartość liczbową!" sqref="F9:J18">
      <formula1>0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I22"/>
  <sheetViews>
    <sheetView tabSelected="1" zoomScale="90" zoomScaleNormal="90" workbookViewId="0">
      <pane xSplit="3" ySplit="12" topLeftCell="D13" activePane="bottomRight" state="frozen"/>
      <selection pane="topRight" activeCell="D1" sqref="D1"/>
      <selection pane="bottomLeft" activeCell="A8" sqref="A8"/>
      <selection pane="bottomRight" activeCell="G25" sqref="G25"/>
    </sheetView>
  </sheetViews>
  <sheetFormatPr defaultColWidth="9.140625" defaultRowHeight="12" x14ac:dyDescent="0.2"/>
  <cols>
    <col min="1" max="1" width="4.42578125" style="1" customWidth="1"/>
    <col min="2" max="2" width="12.5703125" style="1" customWidth="1"/>
    <col min="3" max="3" width="13.140625" style="1" customWidth="1"/>
    <col min="4" max="4" width="37.7109375" style="1" customWidth="1"/>
    <col min="5" max="5" width="16" style="1" customWidth="1"/>
    <col min="6" max="6" width="18.140625" style="1" customWidth="1"/>
    <col min="7" max="7" width="14.5703125" style="1" customWidth="1"/>
    <col min="8" max="8" width="17.7109375" style="1" customWidth="1"/>
    <col min="9" max="10" width="9.85546875" style="1" customWidth="1"/>
    <col min="11" max="11" width="11.7109375" style="1" customWidth="1"/>
    <col min="12" max="12" width="14.5703125" style="1" customWidth="1"/>
    <col min="13" max="13" width="16.7109375" style="1" customWidth="1"/>
    <col min="14" max="15" width="11.42578125" style="1" customWidth="1"/>
    <col min="16" max="16" width="11.85546875" style="1" customWidth="1"/>
    <col min="17" max="17" width="15.140625" style="1" customWidth="1"/>
    <col min="18" max="34" width="9.140625" style="1"/>
    <col min="35" max="35" width="7" style="1" hidden="1" customWidth="1"/>
    <col min="36" max="16384" width="9.140625" style="1"/>
  </cols>
  <sheetData>
    <row r="1" spans="1:35" ht="15.75" thickBot="1" x14ac:dyDescent="0.25">
      <c r="A1" s="121" t="s">
        <v>471</v>
      </c>
    </row>
    <row r="2" spans="1:35" ht="19.5" thickBot="1" x14ac:dyDescent="0.25">
      <c r="D2" s="58" t="s">
        <v>335</v>
      </c>
      <c r="E2" s="122">
        <f>IFERROR(VLOOKUP(tabela_informacyjna_dla_JST!$D$9,gminy_26[],katalog_gmin_PL26!$Q$1,FALSE),"brak nazwy gminy")</f>
        <v>5</v>
      </c>
      <c r="F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5" spans="1:35" ht="15" x14ac:dyDescent="0.2">
      <c r="A5" s="12" t="s">
        <v>334</v>
      </c>
    </row>
    <row r="6" spans="1:35" ht="15" x14ac:dyDescent="0.2">
      <c r="G6" s="201" t="s">
        <v>332</v>
      </c>
      <c r="H6" s="202"/>
      <c r="I6" s="202"/>
      <c r="J6" s="202"/>
      <c r="K6" s="202"/>
      <c r="L6" s="202"/>
      <c r="M6" s="202"/>
      <c r="N6" s="202"/>
      <c r="O6" s="202"/>
      <c r="P6" s="202"/>
      <c r="Q6" s="203"/>
    </row>
    <row r="7" spans="1:35" ht="19.899999999999999" customHeight="1" x14ac:dyDescent="0.2">
      <c r="A7" s="12"/>
      <c r="D7" s="13"/>
      <c r="E7" s="13"/>
      <c r="F7" s="13"/>
      <c r="G7" s="57">
        <f>SUM(G13:G22)</f>
        <v>0</v>
      </c>
      <c r="H7" s="55">
        <f>SUM(H13:H22)</f>
        <v>0</v>
      </c>
      <c r="I7" s="55">
        <f t="shared" ref="I7:Q7" si="0">SUM(I13:I22)</f>
        <v>0</v>
      </c>
      <c r="J7" s="55">
        <f t="shared" si="0"/>
        <v>0</v>
      </c>
      <c r="K7" s="55">
        <f t="shared" si="0"/>
        <v>0</v>
      </c>
      <c r="L7" s="55">
        <f t="shared" si="0"/>
        <v>0</v>
      </c>
      <c r="M7" s="55">
        <f t="shared" si="0"/>
        <v>0</v>
      </c>
      <c r="N7" s="55">
        <f t="shared" si="0"/>
        <v>0</v>
      </c>
      <c r="O7" s="55">
        <f t="shared" si="0"/>
        <v>0</v>
      </c>
      <c r="P7" s="55">
        <f t="shared" si="0"/>
        <v>0</v>
      </c>
      <c r="Q7" s="55">
        <f t="shared" si="0"/>
        <v>0</v>
      </c>
    </row>
    <row r="8" spans="1:35" ht="24" customHeight="1" x14ac:dyDescent="0.2">
      <c r="A8" s="204" t="s">
        <v>7</v>
      </c>
      <c r="B8" s="204" t="s">
        <v>26</v>
      </c>
      <c r="C8" s="204" t="s">
        <v>22</v>
      </c>
      <c r="D8" s="204" t="s">
        <v>23</v>
      </c>
      <c r="E8" s="197" t="s">
        <v>360</v>
      </c>
      <c r="F8" s="197" t="s">
        <v>489</v>
      </c>
      <c r="G8" s="197" t="s">
        <v>336</v>
      </c>
      <c r="H8" s="204" t="s">
        <v>452</v>
      </c>
      <c r="I8" s="204"/>
      <c r="J8" s="204"/>
      <c r="K8" s="204"/>
      <c r="L8" s="204"/>
      <c r="M8" s="204"/>
      <c r="N8" s="204"/>
      <c r="O8" s="204"/>
      <c r="P8" s="204"/>
      <c r="Q8" s="204"/>
    </row>
    <row r="9" spans="1:35" ht="45.6" customHeight="1" x14ac:dyDescent="0.2">
      <c r="A9" s="204"/>
      <c r="B9" s="204"/>
      <c r="C9" s="204"/>
      <c r="D9" s="204"/>
      <c r="E9" s="211"/>
      <c r="F9" s="198"/>
      <c r="G9" s="211"/>
      <c r="H9" s="212" t="s">
        <v>337</v>
      </c>
      <c r="I9" s="213"/>
      <c r="J9" s="213"/>
      <c r="K9" s="213"/>
      <c r="L9" s="214"/>
      <c r="M9" s="215" t="s">
        <v>338</v>
      </c>
      <c r="N9" s="216"/>
      <c r="O9" s="216"/>
      <c r="P9" s="216"/>
      <c r="Q9" s="217"/>
    </row>
    <row r="10" spans="1:35" ht="36" x14ac:dyDescent="0.2">
      <c r="A10" s="204"/>
      <c r="B10" s="204"/>
      <c r="C10" s="204"/>
      <c r="D10" s="204"/>
      <c r="E10" s="198"/>
      <c r="F10" s="34" t="s">
        <v>361</v>
      </c>
      <c r="G10" s="208"/>
      <c r="H10" s="128" t="s">
        <v>474</v>
      </c>
      <c r="I10" s="128" t="s">
        <v>351</v>
      </c>
      <c r="J10" s="128" t="s">
        <v>352</v>
      </c>
      <c r="K10" s="128" t="s">
        <v>353</v>
      </c>
      <c r="L10" s="128" t="s">
        <v>354</v>
      </c>
      <c r="M10" s="129" t="s">
        <v>474</v>
      </c>
      <c r="N10" s="129" t="s">
        <v>351</v>
      </c>
      <c r="O10" s="129" t="s">
        <v>352</v>
      </c>
      <c r="P10" s="129" t="s">
        <v>353</v>
      </c>
      <c r="Q10" s="129" t="s">
        <v>354</v>
      </c>
    </row>
    <row r="11" spans="1:35" x14ac:dyDescent="0.2">
      <c r="A11" s="16">
        <v>1</v>
      </c>
      <c r="B11" s="16">
        <f>A11+1</f>
        <v>2</v>
      </c>
      <c r="C11" s="16">
        <f t="shared" ref="C11:Q11" si="1">B11+1</f>
        <v>3</v>
      </c>
      <c r="D11" s="16">
        <f t="shared" si="1"/>
        <v>4</v>
      </c>
      <c r="E11" s="16">
        <f t="shared" si="1"/>
        <v>5</v>
      </c>
      <c r="F11" s="16">
        <f t="shared" si="1"/>
        <v>6</v>
      </c>
      <c r="G11" s="16">
        <f t="shared" si="1"/>
        <v>7</v>
      </c>
      <c r="H11" s="16">
        <f t="shared" si="1"/>
        <v>8</v>
      </c>
      <c r="I11" s="16">
        <f t="shared" si="1"/>
        <v>9</v>
      </c>
      <c r="J11" s="16">
        <f t="shared" si="1"/>
        <v>10</v>
      </c>
      <c r="K11" s="16">
        <f t="shared" si="1"/>
        <v>11</v>
      </c>
      <c r="L11" s="16">
        <f t="shared" si="1"/>
        <v>12</v>
      </c>
      <c r="M11" s="16">
        <f t="shared" si="1"/>
        <v>13</v>
      </c>
      <c r="N11" s="16">
        <f t="shared" si="1"/>
        <v>14</v>
      </c>
      <c r="O11" s="16">
        <f t="shared" si="1"/>
        <v>15</v>
      </c>
      <c r="P11" s="16">
        <f t="shared" si="1"/>
        <v>16</v>
      </c>
      <c r="Q11" s="16">
        <f t="shared" si="1"/>
        <v>17</v>
      </c>
    </row>
    <row r="12" spans="1:35" ht="72" x14ac:dyDescent="0.2">
      <c r="A12" s="124"/>
      <c r="B12" s="88" t="s">
        <v>55</v>
      </c>
      <c r="C12" s="88" t="s">
        <v>34</v>
      </c>
      <c r="D12" s="88" t="s">
        <v>34</v>
      </c>
      <c r="E12" s="125" t="s">
        <v>487</v>
      </c>
      <c r="F12" s="125" t="s">
        <v>488</v>
      </c>
      <c r="G12" s="88" t="s">
        <v>34</v>
      </c>
      <c r="H12" s="127" t="s">
        <v>355</v>
      </c>
      <c r="I12" s="125" t="s">
        <v>356</v>
      </c>
      <c r="J12" s="125" t="s">
        <v>357</v>
      </c>
      <c r="K12" s="125" t="s">
        <v>358</v>
      </c>
      <c r="L12" s="125" t="s">
        <v>359</v>
      </c>
      <c r="M12" s="127" t="s">
        <v>355</v>
      </c>
      <c r="N12" s="125" t="s">
        <v>356</v>
      </c>
      <c r="O12" s="125" t="s">
        <v>357</v>
      </c>
      <c r="P12" s="125" t="s">
        <v>358</v>
      </c>
      <c r="Q12" s="125" t="s">
        <v>359</v>
      </c>
      <c r="AI12" s="32" t="s">
        <v>48</v>
      </c>
    </row>
    <row r="13" spans="1:35" ht="23.1" customHeight="1" x14ac:dyDescent="0.2">
      <c r="A13" s="3">
        <v>1</v>
      </c>
      <c r="B13" s="15" t="str">
        <f>tabela_informacyjna_dla_JST!$C$9</f>
        <v>Radków</v>
      </c>
      <c r="C13" s="51" t="str">
        <f>IFERROR(CONCATENATE(tabela_informacyjna_dla_JST!$D$7,"_KPP"),"brak nazwy gminy")</f>
        <v>PL2602_KPP</v>
      </c>
      <c r="D13" s="22" t="s">
        <v>573</v>
      </c>
      <c r="E13" s="82"/>
      <c r="F13" s="116"/>
      <c r="G13" s="23">
        <f>SUM(H13+M13)</f>
        <v>0</v>
      </c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AI13" s="1" t="b">
        <f>OR(NOT(ISBLANK(G13)),NOT(ISBLANK(Q13)))</f>
        <v>1</v>
      </c>
    </row>
    <row r="14" spans="1:35" ht="23.1" customHeight="1" x14ac:dyDescent="0.2">
      <c r="A14" s="3">
        <v>2</v>
      </c>
      <c r="B14" s="15" t="str">
        <f>tabela_informacyjna_dla_JST!$C$9</f>
        <v>Radków</v>
      </c>
      <c r="C14" s="51" t="str">
        <f>IFERROR(CONCATENATE(tabela_informacyjna_dla_JST!$D$7,"_KPP"),"brak nazwy gminy")</f>
        <v>PL2602_KPP</v>
      </c>
      <c r="D14" s="22" t="str">
        <f>IFERROR(VLOOKUP($C14,kat_zadania[],katalogi!$N$1-katalogi!$L$1,FALSE),"brak nazwy gminy")</f>
        <v>Prowadzenie kontroli przestrzegania przepisów ograniczających używanie paliw lub urządzeń do celów grzewczych oraz zakazu spalania odpadów</v>
      </c>
      <c r="E14" s="82"/>
      <c r="F14" s="116"/>
      <c r="G14" s="23">
        <f t="shared" ref="G14:G22" si="2">SUM(H14+M14)</f>
        <v>0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AI14" s="1" t="b">
        <f t="shared" ref="AI14:AI22" si="3">OR(NOT(ISBLANK(G14)),NOT(ISBLANK(Q14)))</f>
        <v>1</v>
      </c>
    </row>
    <row r="15" spans="1:35" ht="23.1" customHeight="1" x14ac:dyDescent="0.2">
      <c r="A15" s="3">
        <v>3</v>
      </c>
      <c r="B15" s="15" t="str">
        <f>tabela_informacyjna_dla_JST!$C$9</f>
        <v>Radków</v>
      </c>
      <c r="C15" s="51" t="str">
        <f>IFERROR(CONCATENATE(tabela_informacyjna_dla_JST!$D$7,"_KPP"),"brak nazwy gminy")</f>
        <v>PL2602_KPP</v>
      </c>
      <c r="D15" s="22" t="str">
        <f>IFERROR(VLOOKUP($C15,kat_zadania[],katalogi!$N$1-katalogi!$L$1,FALSE),"brak nazwy gminy")</f>
        <v>Prowadzenie kontroli przestrzegania przepisów ograniczających używanie paliw lub urządzeń do celów grzewczych oraz zakazu spalania odpadów</v>
      </c>
      <c r="E15" s="82"/>
      <c r="F15" s="116"/>
      <c r="G15" s="23">
        <f t="shared" si="2"/>
        <v>0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AI15" s="1" t="b">
        <f t="shared" si="3"/>
        <v>1</v>
      </c>
    </row>
    <row r="16" spans="1:35" ht="23.1" customHeight="1" x14ac:dyDescent="0.2">
      <c r="A16" s="3">
        <v>4</v>
      </c>
      <c r="B16" s="15" t="str">
        <f>tabela_informacyjna_dla_JST!$C$9</f>
        <v>Radków</v>
      </c>
      <c r="C16" s="51" t="str">
        <f>IFERROR(CONCATENATE(tabela_informacyjna_dla_JST!$D$7,"_KPP"),"brak nazwy gminy")</f>
        <v>PL2602_KPP</v>
      </c>
      <c r="D16" s="22" t="str">
        <f>IFERROR(VLOOKUP($C16,kat_zadania[],katalogi!$N$1-katalogi!$L$1,FALSE),"brak nazwy gminy")</f>
        <v>Prowadzenie kontroli przestrzegania przepisów ograniczających używanie paliw lub urządzeń do celów grzewczych oraz zakazu spalania odpadów</v>
      </c>
      <c r="E16" s="82"/>
      <c r="F16" s="116"/>
      <c r="G16" s="23">
        <f t="shared" si="2"/>
        <v>0</v>
      </c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AI16" s="1" t="b">
        <f t="shared" si="3"/>
        <v>1</v>
      </c>
    </row>
    <row r="17" spans="1:35" ht="23.1" customHeight="1" x14ac:dyDescent="0.2">
      <c r="A17" s="3">
        <v>5</v>
      </c>
      <c r="B17" s="15" t="str">
        <f>tabela_informacyjna_dla_JST!$C$9</f>
        <v>Radków</v>
      </c>
      <c r="C17" s="51" t="str">
        <f>IFERROR(CONCATENATE(tabela_informacyjna_dla_JST!$D$7,"_KPP"),"brak nazwy gminy")</f>
        <v>PL2602_KPP</v>
      </c>
      <c r="D17" s="22" t="str">
        <f>IFERROR(VLOOKUP($C17,kat_zadania[],katalogi!$N$1-katalogi!$L$1,FALSE),"brak nazwy gminy")</f>
        <v>Prowadzenie kontroli przestrzegania przepisów ograniczających używanie paliw lub urządzeń do celów grzewczych oraz zakazu spalania odpadów</v>
      </c>
      <c r="E17" s="82"/>
      <c r="F17" s="116"/>
      <c r="G17" s="23">
        <f t="shared" si="2"/>
        <v>0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AI17" s="1" t="b">
        <f t="shared" si="3"/>
        <v>1</v>
      </c>
    </row>
    <row r="18" spans="1:35" ht="23.1" customHeight="1" x14ac:dyDescent="0.2">
      <c r="A18" s="3">
        <v>6</v>
      </c>
      <c r="B18" s="15" t="str">
        <f>tabela_informacyjna_dla_JST!$C$9</f>
        <v>Radków</v>
      </c>
      <c r="C18" s="51" t="str">
        <f>IFERROR(CONCATENATE(tabela_informacyjna_dla_JST!$D$7,"_KPP"),"brak nazwy gminy")</f>
        <v>PL2602_KPP</v>
      </c>
      <c r="D18" s="22" t="str">
        <f>IFERROR(VLOOKUP($C18,kat_zadania[],katalogi!$N$1-katalogi!$L$1,FALSE),"brak nazwy gminy")</f>
        <v>Prowadzenie kontroli przestrzegania przepisów ograniczających używanie paliw lub urządzeń do celów grzewczych oraz zakazu spalania odpadów</v>
      </c>
      <c r="E18" s="82"/>
      <c r="F18" s="116"/>
      <c r="G18" s="23">
        <f t="shared" si="2"/>
        <v>0</v>
      </c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AI18" s="1" t="b">
        <f t="shared" si="3"/>
        <v>1</v>
      </c>
    </row>
    <row r="19" spans="1:35" ht="23.1" customHeight="1" x14ac:dyDescent="0.2">
      <c r="A19" s="3">
        <v>7</v>
      </c>
      <c r="B19" s="15" t="str">
        <f>tabela_informacyjna_dla_JST!$C$9</f>
        <v>Radków</v>
      </c>
      <c r="C19" s="51" t="str">
        <f>IFERROR(CONCATENATE(tabela_informacyjna_dla_JST!$D$7,"_KPP"),"brak nazwy gminy")</f>
        <v>PL2602_KPP</v>
      </c>
      <c r="D19" s="22" t="str">
        <f>IFERROR(VLOOKUP($C19,kat_zadania[],katalogi!$N$1-katalogi!$L$1,FALSE),"brak nazwy gminy")</f>
        <v>Prowadzenie kontroli przestrzegania przepisów ograniczających używanie paliw lub urządzeń do celów grzewczych oraz zakazu spalania odpadów</v>
      </c>
      <c r="E19" s="82"/>
      <c r="F19" s="116"/>
      <c r="G19" s="23">
        <f t="shared" si="2"/>
        <v>0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AI19" s="1" t="b">
        <f t="shared" si="3"/>
        <v>1</v>
      </c>
    </row>
    <row r="20" spans="1:35" ht="23.1" customHeight="1" x14ac:dyDescent="0.2">
      <c r="A20" s="3">
        <v>8</v>
      </c>
      <c r="B20" s="15" t="str">
        <f>tabela_informacyjna_dla_JST!$C$9</f>
        <v>Radków</v>
      </c>
      <c r="C20" s="51" t="str">
        <f>IFERROR(CONCATENATE(tabela_informacyjna_dla_JST!$D$7,"_KPP"),"brak nazwy gminy")</f>
        <v>PL2602_KPP</v>
      </c>
      <c r="D20" s="22" t="str">
        <f>IFERROR(VLOOKUP($C20,kat_zadania[],katalogi!$N$1-katalogi!$L$1,FALSE),"brak nazwy gminy")</f>
        <v>Prowadzenie kontroli przestrzegania przepisów ograniczających używanie paliw lub urządzeń do celów grzewczych oraz zakazu spalania odpadów</v>
      </c>
      <c r="E20" s="82"/>
      <c r="F20" s="116"/>
      <c r="G20" s="23">
        <f t="shared" si="2"/>
        <v>0</v>
      </c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AI20" s="1" t="b">
        <f t="shared" si="3"/>
        <v>1</v>
      </c>
    </row>
    <row r="21" spans="1:35" ht="23.1" customHeight="1" x14ac:dyDescent="0.2">
      <c r="A21" s="3">
        <v>9</v>
      </c>
      <c r="B21" s="15" t="str">
        <f>tabela_informacyjna_dla_JST!$C$9</f>
        <v>Radków</v>
      </c>
      <c r="C21" s="51" t="str">
        <f>IFERROR(CONCATENATE(tabela_informacyjna_dla_JST!$D$7,"_KPP"),"brak nazwy gminy")</f>
        <v>PL2602_KPP</v>
      </c>
      <c r="D21" s="22" t="str">
        <f>IFERROR(VLOOKUP($C21,kat_zadania[],katalogi!$N$1-katalogi!$L$1,FALSE),"brak nazwy gminy")</f>
        <v>Prowadzenie kontroli przestrzegania przepisów ograniczających używanie paliw lub urządzeń do celów grzewczych oraz zakazu spalania odpadów</v>
      </c>
      <c r="E21" s="82"/>
      <c r="F21" s="116"/>
      <c r="G21" s="23">
        <f t="shared" si="2"/>
        <v>0</v>
      </c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AI21" s="1" t="b">
        <f t="shared" si="3"/>
        <v>1</v>
      </c>
    </row>
    <row r="22" spans="1:35" ht="23.1" customHeight="1" x14ac:dyDescent="0.2">
      <c r="A22" s="3">
        <v>10</v>
      </c>
      <c r="B22" s="15" t="str">
        <f>tabela_informacyjna_dla_JST!$C$9</f>
        <v>Radków</v>
      </c>
      <c r="C22" s="51" t="str">
        <f>IFERROR(CONCATENATE(tabela_informacyjna_dla_JST!$D$7,"_KPP"),"brak nazwy gminy")</f>
        <v>PL2602_KPP</v>
      </c>
      <c r="D22" s="22" t="str">
        <f>IFERROR(VLOOKUP($C22,kat_zadania[],katalogi!$N$1-katalogi!$L$1,FALSE),"brak nazwy gminy")</f>
        <v>Prowadzenie kontroli przestrzegania przepisów ograniczających używanie paliw lub urządzeń do celów grzewczych oraz zakazu spalania odpadów</v>
      </c>
      <c r="E22" s="82"/>
      <c r="F22" s="116"/>
      <c r="G22" s="23">
        <f t="shared" si="2"/>
        <v>0</v>
      </c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AI22" s="1" t="b">
        <f t="shared" si="3"/>
        <v>1</v>
      </c>
    </row>
  </sheetData>
  <sheetProtection formatCells="0" formatRows="0" sort="0" autoFilter="0" pivotTables="0"/>
  <dataConsolidate/>
  <mergeCells count="11">
    <mergeCell ref="H8:Q8"/>
    <mergeCell ref="H9:L9"/>
    <mergeCell ref="M9:Q9"/>
    <mergeCell ref="G6:Q6"/>
    <mergeCell ref="G8:G10"/>
    <mergeCell ref="F8:F9"/>
    <mergeCell ref="E8:E10"/>
    <mergeCell ref="A8:A10"/>
    <mergeCell ref="B8:B10"/>
    <mergeCell ref="C8:C10"/>
    <mergeCell ref="D8:D10"/>
  </mergeCells>
  <conditionalFormatting sqref="B13:B22">
    <cfRule type="cellIs" dxfId="1" priority="2" operator="equal">
      <formula>0</formula>
    </cfRule>
  </conditionalFormatting>
  <conditionalFormatting sqref="F13:F22">
    <cfRule type="expression" dxfId="0" priority="1">
      <formula>$E13="rutynowe"</formula>
    </cfRule>
  </conditionalFormatting>
  <dataValidations count="3">
    <dataValidation type="list" allowBlank="1" showInputMessage="1" showErrorMessage="1" sqref="E13:E22">
      <formula1>"rutynowe,PDK ALARM I STOPNIA,PDK ALARM II STOPNIA"</formula1>
    </dataValidation>
    <dataValidation type="whole" operator="greaterThanOrEqual" allowBlank="1" showInputMessage="1" showErrorMessage="1" error="Proszę podać wartość liczbową!" sqref="H13:Q22">
      <formula1>0</formula1>
    </dataValidation>
    <dataValidation type="date" allowBlank="1" showInputMessage="1" showErrorMessage="1" sqref="F13:F22">
      <formula1>44075</formula1>
      <formula2>46387</formula2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2:C27"/>
  <sheetViews>
    <sheetView workbookViewId="0"/>
  </sheetViews>
  <sheetFormatPr defaultColWidth="10" defaultRowHeight="12" x14ac:dyDescent="0.2"/>
  <cols>
    <col min="1" max="1" width="38" style="1" customWidth="1"/>
    <col min="2" max="2" width="64.7109375" style="1" customWidth="1"/>
    <col min="3" max="3" width="36.28515625" style="1" customWidth="1"/>
    <col min="4" max="9" width="9.7109375" style="1" customWidth="1"/>
    <col min="10" max="16384" width="10" style="1"/>
  </cols>
  <sheetData>
    <row r="2" spans="1:3" ht="19.899999999999999" customHeight="1" x14ac:dyDescent="0.2">
      <c r="A2" s="12" t="s">
        <v>423</v>
      </c>
      <c r="B2" s="2"/>
    </row>
    <row r="3" spans="1:3" x14ac:dyDescent="0.2">
      <c r="A3" s="219" t="s">
        <v>406</v>
      </c>
      <c r="B3" s="219"/>
      <c r="C3" s="84" t="s">
        <v>421</v>
      </c>
    </row>
    <row r="4" spans="1:3" ht="24" x14ac:dyDescent="0.2">
      <c r="A4" s="85" t="s">
        <v>407</v>
      </c>
      <c r="B4" s="82"/>
      <c r="C4" s="88" t="s">
        <v>408</v>
      </c>
    </row>
    <row r="5" spans="1:3" ht="96" x14ac:dyDescent="0.2">
      <c r="A5" s="86" t="s">
        <v>463</v>
      </c>
      <c r="B5" s="117"/>
      <c r="C5" s="89" t="s">
        <v>462</v>
      </c>
    </row>
    <row r="6" spans="1:3" ht="38.450000000000003" customHeight="1" x14ac:dyDescent="0.2">
      <c r="A6" s="87" t="s">
        <v>409</v>
      </c>
      <c r="B6" s="83"/>
      <c r="C6" s="88" t="s">
        <v>464</v>
      </c>
    </row>
    <row r="7" spans="1:3" x14ac:dyDescent="0.2">
      <c r="A7" s="218" t="s">
        <v>411</v>
      </c>
      <c r="B7" s="218"/>
      <c r="C7" s="88"/>
    </row>
    <row r="8" spans="1:3" x14ac:dyDescent="0.2">
      <c r="A8" s="220"/>
      <c r="B8" s="220"/>
      <c r="C8" s="88" t="s">
        <v>410</v>
      </c>
    </row>
    <row r="9" spans="1:3" ht="38.450000000000003" customHeight="1" x14ac:dyDescent="0.2">
      <c r="A9" s="85" t="s">
        <v>465</v>
      </c>
      <c r="B9" s="117"/>
      <c r="C9" s="89" t="s">
        <v>462</v>
      </c>
    </row>
    <row r="10" spans="1:3" x14ac:dyDescent="0.2">
      <c r="A10" s="218" t="s">
        <v>466</v>
      </c>
      <c r="B10" s="218"/>
      <c r="C10" s="89"/>
    </row>
    <row r="11" spans="1:3" ht="28.5" customHeight="1" x14ac:dyDescent="0.2">
      <c r="A11" s="220"/>
      <c r="B11" s="220"/>
      <c r="C11" s="88" t="s">
        <v>422</v>
      </c>
    </row>
    <row r="12" spans="1:3" x14ac:dyDescent="0.2">
      <c r="A12" s="218" t="s">
        <v>412</v>
      </c>
      <c r="B12" s="218"/>
      <c r="C12" s="89"/>
    </row>
    <row r="13" spans="1:3" ht="110.45" customHeight="1" x14ac:dyDescent="0.2">
      <c r="A13" s="86" t="s">
        <v>467</v>
      </c>
      <c r="B13" s="118"/>
      <c r="C13" s="89" t="s">
        <v>424</v>
      </c>
    </row>
    <row r="14" spans="1:3" ht="24" x14ac:dyDescent="0.2">
      <c r="A14" s="86" t="s">
        <v>413</v>
      </c>
      <c r="B14" s="82"/>
      <c r="C14" s="89" t="s">
        <v>408</v>
      </c>
    </row>
    <row r="15" spans="1:3" x14ac:dyDescent="0.2">
      <c r="A15" s="218" t="s">
        <v>468</v>
      </c>
      <c r="B15" s="218"/>
      <c r="C15" s="89"/>
    </row>
    <row r="16" spans="1:3" ht="60" customHeight="1" x14ac:dyDescent="0.2">
      <c r="A16" s="220"/>
      <c r="B16" s="220"/>
      <c r="C16" s="89" t="s">
        <v>414</v>
      </c>
    </row>
    <row r="17" spans="1:3" x14ac:dyDescent="0.2">
      <c r="A17" s="221" t="s">
        <v>415</v>
      </c>
      <c r="B17" s="221"/>
      <c r="C17" s="89"/>
    </row>
    <row r="18" spans="1:3" x14ac:dyDescent="0.2">
      <c r="A18" s="218" t="s">
        <v>416</v>
      </c>
      <c r="B18" s="218"/>
      <c r="C18" s="89"/>
    </row>
    <row r="19" spans="1:3" ht="60" customHeight="1" x14ac:dyDescent="0.2">
      <c r="A19" s="220"/>
      <c r="B19" s="220"/>
      <c r="C19" s="89" t="s">
        <v>414</v>
      </c>
    </row>
    <row r="20" spans="1:3" x14ac:dyDescent="0.2">
      <c r="A20" s="218" t="s">
        <v>417</v>
      </c>
      <c r="B20" s="218"/>
      <c r="C20" s="89"/>
    </row>
    <row r="21" spans="1:3" ht="60" customHeight="1" x14ac:dyDescent="0.2">
      <c r="A21" s="220"/>
      <c r="B21" s="220"/>
      <c r="C21" s="89" t="s">
        <v>414</v>
      </c>
    </row>
    <row r="22" spans="1:3" ht="26.25" customHeight="1" x14ac:dyDescent="0.2">
      <c r="A22" s="218" t="s">
        <v>469</v>
      </c>
      <c r="B22" s="218"/>
      <c r="C22" s="89"/>
    </row>
    <row r="23" spans="1:3" ht="60" customHeight="1" x14ac:dyDescent="0.2">
      <c r="A23" s="220"/>
      <c r="B23" s="220"/>
      <c r="C23" s="89" t="s">
        <v>414</v>
      </c>
    </row>
    <row r="24" spans="1:3" x14ac:dyDescent="0.2">
      <c r="A24" s="218" t="s">
        <v>418</v>
      </c>
      <c r="B24" s="218"/>
      <c r="C24" s="89"/>
    </row>
    <row r="25" spans="1:3" ht="60" customHeight="1" x14ac:dyDescent="0.2">
      <c r="A25" s="220"/>
      <c r="B25" s="220"/>
      <c r="C25" s="89" t="s">
        <v>414</v>
      </c>
    </row>
    <row r="26" spans="1:3" x14ac:dyDescent="0.2">
      <c r="A26" s="218" t="s">
        <v>419</v>
      </c>
      <c r="B26" s="218"/>
      <c r="C26" s="89"/>
    </row>
    <row r="27" spans="1:3" ht="60" customHeight="1" x14ac:dyDescent="0.2">
      <c r="A27" s="220"/>
      <c r="B27" s="220"/>
      <c r="C27" s="89" t="s">
        <v>420</v>
      </c>
    </row>
  </sheetData>
  <mergeCells count="19">
    <mergeCell ref="A27:B27"/>
    <mergeCell ref="A21:B21"/>
    <mergeCell ref="A22:B22"/>
    <mergeCell ref="A23:B23"/>
    <mergeCell ref="A24:B24"/>
    <mergeCell ref="A25:B25"/>
    <mergeCell ref="A26:B26"/>
    <mergeCell ref="A20:B20"/>
    <mergeCell ref="A3:B3"/>
    <mergeCell ref="A7:B7"/>
    <mergeCell ref="A8:B8"/>
    <mergeCell ref="A10:B10"/>
    <mergeCell ref="A11:B11"/>
    <mergeCell ref="A12:B12"/>
    <mergeCell ref="A15:B15"/>
    <mergeCell ref="A16:B16"/>
    <mergeCell ref="A17:B17"/>
    <mergeCell ref="A18:B18"/>
    <mergeCell ref="A19:B1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1190625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180975</xdr:rowOff>
                  </from>
                  <to>
                    <xdr:col>1</xdr:col>
                    <xdr:colOff>990600</xdr:colOff>
                    <xdr:row>4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514350</xdr:rowOff>
                  </from>
                  <to>
                    <xdr:col>1</xdr:col>
                    <xdr:colOff>1038225</xdr:colOff>
                    <xdr:row>4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752475</xdr:rowOff>
                  </from>
                  <to>
                    <xdr:col>1</xdr:col>
                    <xdr:colOff>1038225</xdr:colOff>
                    <xdr:row>4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0</xdr:rowOff>
                  </from>
                  <to>
                    <xdr:col>1</xdr:col>
                    <xdr:colOff>1009650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209550</xdr:rowOff>
                  </from>
                  <to>
                    <xdr:col>1</xdr:col>
                    <xdr:colOff>1123950</xdr:colOff>
                    <xdr:row>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47625</xdr:rowOff>
                  </from>
                  <to>
                    <xdr:col>1</xdr:col>
                    <xdr:colOff>1009650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285750</xdr:rowOff>
                  </from>
                  <to>
                    <xdr:col>1</xdr:col>
                    <xdr:colOff>1009650</xdr:colOff>
                    <xdr:row>12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466725</xdr:rowOff>
                  </from>
                  <to>
                    <xdr:col>1</xdr:col>
                    <xdr:colOff>1009650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666750</xdr:rowOff>
                  </from>
                  <to>
                    <xdr:col>1</xdr:col>
                    <xdr:colOff>1009650</xdr:colOff>
                    <xdr:row>12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895350</xdr:rowOff>
                  </from>
                  <to>
                    <xdr:col>1</xdr:col>
                    <xdr:colOff>1009650</xdr:colOff>
                    <xdr:row>12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1104900</xdr:rowOff>
                  </from>
                  <to>
                    <xdr:col>1</xdr:col>
                    <xdr:colOff>1009650</xdr:colOff>
                    <xdr:row>12</xdr:row>
                    <xdr:rowOff>1381125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21</vt:i4>
      </vt:variant>
    </vt:vector>
  </HeadingPairs>
  <TitlesOfParts>
    <vt:vector size="31" baseType="lpstr">
      <vt:lpstr>katalogi</vt:lpstr>
      <vt:lpstr>katalog_gmin_PL26</vt:lpstr>
      <vt:lpstr>wskaźniki_efektu</vt:lpstr>
      <vt:lpstr>instrukcja</vt:lpstr>
      <vt:lpstr>tabela_informacyjna_dla_JST</vt:lpstr>
      <vt:lpstr>tab.1_ZSO_gminy</vt:lpstr>
      <vt:lpstr>tab.2_EE_gminy</vt:lpstr>
      <vt:lpstr>tab.3_KPP</vt:lpstr>
      <vt:lpstr>tab.5_PDK</vt:lpstr>
      <vt:lpstr>gminy strefy świętokrzyskiej</vt:lpstr>
      <vt:lpstr>buski</vt:lpstr>
      <vt:lpstr>jędrzejowski</vt:lpstr>
      <vt:lpstr>kazimierski</vt:lpstr>
      <vt:lpstr>Kielce</vt:lpstr>
      <vt:lpstr>kielecki</vt:lpstr>
      <vt:lpstr>kod_efektu</vt:lpstr>
      <vt:lpstr>konecki</vt:lpstr>
      <vt:lpstr>monit_ZSO</vt:lpstr>
      <vt:lpstr>tab.1_ZSO_gminy!nazwy_gmin</vt:lpstr>
      <vt:lpstr>tab.3_KPP!nazwy_gmin</vt:lpstr>
      <vt:lpstr>nazwy_gmin</vt:lpstr>
      <vt:lpstr>nazwy_powiaty</vt:lpstr>
      <vt:lpstr>opatowski</vt:lpstr>
      <vt:lpstr>ostrowiecki</vt:lpstr>
      <vt:lpstr>pińczowski</vt:lpstr>
      <vt:lpstr>Powiaty</vt:lpstr>
      <vt:lpstr>sandomierski</vt:lpstr>
      <vt:lpstr>skarżyski</vt:lpstr>
      <vt:lpstr>starachowicki</vt:lpstr>
      <vt:lpstr>staszowski</vt:lpstr>
      <vt:lpstr>włoszczowski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DELLOK</cp:lastModifiedBy>
  <dcterms:created xsi:type="dcterms:W3CDTF">2014-03-17T07:23:47Z</dcterms:created>
  <dcterms:modified xsi:type="dcterms:W3CDTF">2026-02-13T08:08:09Z</dcterms:modified>
</cp:coreProperties>
</file>